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E82121C1-7224-4155-AF26-7077765E4334}" xr6:coauthVersionLast="47" xr6:coauthVersionMax="47" xr10:uidLastSave="{00000000-0000-0000-0000-000000000000}"/>
  <bookViews>
    <workbookView xWindow="-108" yWindow="-108" windowWidth="27096" windowHeight="16296" activeTab="11" xr2:uid="{00000000-000D-0000-FFFF-FFFF00000000}"/>
  </bookViews>
  <sheets>
    <sheet name="(vierge)" sheetId="15" r:id="rId1"/>
    <sheet name="2012" sheetId="1" r:id="rId2"/>
    <sheet name="2013" sheetId="4" r:id="rId3"/>
    <sheet name="2014" sheetId="5" r:id="rId4"/>
    <sheet name="2015" sheetId="6" r:id="rId5"/>
    <sheet name="2016" sheetId="7" r:id="rId6"/>
    <sheet name="2018(orga)" sheetId="8" r:id="rId7"/>
    <sheet name="2018" sheetId="11" r:id="rId8"/>
    <sheet name="2022" sheetId="9" r:id="rId9"/>
    <sheet name="2023" sheetId="12" r:id="rId10"/>
    <sheet name="2024" sheetId="13" r:id="rId11"/>
    <sheet name="2025" sheetId="1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4" i="15" l="1"/>
  <c r="Y18" i="15"/>
  <c r="Y12" i="15"/>
  <c r="Y6" i="15"/>
  <c r="Y24" i="14"/>
  <c r="Y18" i="14"/>
  <c r="Y12" i="14"/>
  <c r="Y6" i="14"/>
  <c r="E23" i="14"/>
  <c r="L23" i="14"/>
  <c r="S23" i="14"/>
  <c r="E17" i="14"/>
  <c r="L17" i="14"/>
  <c r="S17" i="14"/>
  <c r="E11" i="14"/>
  <c r="L11" i="14"/>
  <c r="S11" i="14"/>
  <c r="E5" i="14"/>
  <c r="L5" i="14"/>
  <c r="S5" i="14"/>
  <c r="Y27" i="15" l="1"/>
  <c r="M26" i="15"/>
  <c r="N26" i="15" s="1"/>
  <c r="F26" i="15"/>
  <c r="G26" i="15" s="1"/>
  <c r="Y25" i="15"/>
  <c r="S25" i="15"/>
  <c r="M25" i="15"/>
  <c r="N25" i="15" s="1"/>
  <c r="S24" i="15"/>
  <c r="M24" i="15"/>
  <c r="F24" i="15"/>
  <c r="G24" i="15" s="1"/>
  <c r="S23" i="15"/>
  <c r="T26" i="15" s="1"/>
  <c r="U26" i="15" s="1"/>
  <c r="R23" i="15"/>
  <c r="L23" i="15"/>
  <c r="K23" i="15"/>
  <c r="M23" i="15" s="1"/>
  <c r="E23" i="15"/>
  <c r="F25" i="15" s="1"/>
  <c r="G25" i="15" s="1"/>
  <c r="D23" i="15"/>
  <c r="F23" i="15" s="1"/>
  <c r="Y21" i="15"/>
  <c r="T20" i="15"/>
  <c r="S20" i="15"/>
  <c r="M20" i="15"/>
  <c r="N20" i="15" s="1"/>
  <c r="L20" i="15"/>
  <c r="F20" i="15"/>
  <c r="G20" i="15" s="1"/>
  <c r="Y19" i="15"/>
  <c r="S19" i="15"/>
  <c r="T18" i="15"/>
  <c r="U18" i="15" s="1"/>
  <c r="S18" i="15"/>
  <c r="S17" i="15"/>
  <c r="T19" i="15" s="1"/>
  <c r="U19" i="15" s="1"/>
  <c r="R17" i="15"/>
  <c r="T17" i="15" s="1"/>
  <c r="L17" i="15"/>
  <c r="M18" i="15" s="1"/>
  <c r="N18" i="15" s="1"/>
  <c r="K17" i="15"/>
  <c r="M17" i="15" s="1"/>
  <c r="E17" i="15"/>
  <c r="F18" i="15" s="1"/>
  <c r="G18" i="15" s="1"/>
  <c r="D17" i="15"/>
  <c r="F17" i="15" s="1"/>
  <c r="Y15" i="15"/>
  <c r="M14" i="15"/>
  <c r="N14" i="15" s="1"/>
  <c r="F14" i="15"/>
  <c r="G14" i="15" s="1"/>
  <c r="Y13" i="15"/>
  <c r="S13" i="15"/>
  <c r="M13" i="15"/>
  <c r="N13" i="15" s="1"/>
  <c r="S12" i="15"/>
  <c r="M12" i="15"/>
  <c r="F12" i="15"/>
  <c r="G12" i="15" s="1"/>
  <c r="S11" i="15"/>
  <c r="T15" i="15" s="1"/>
  <c r="U15" i="15" s="1"/>
  <c r="R11" i="15"/>
  <c r="S26" i="15" s="1"/>
  <c r="L11" i="15"/>
  <c r="K11" i="15"/>
  <c r="M11" i="15" s="1"/>
  <c r="E11" i="15"/>
  <c r="F13" i="15" s="1"/>
  <c r="G13" i="15" s="1"/>
  <c r="D11" i="15"/>
  <c r="F11" i="15" s="1"/>
  <c r="Y9" i="15"/>
  <c r="T8" i="15"/>
  <c r="U8" i="15" s="1"/>
  <c r="S8" i="15"/>
  <c r="M8" i="15"/>
  <c r="N8" i="15" s="1"/>
  <c r="L8" i="15"/>
  <c r="Y7" i="15"/>
  <c r="T6" i="15"/>
  <c r="U6" i="15" s="1"/>
  <c r="S5" i="15"/>
  <c r="T7" i="15" s="1"/>
  <c r="U7" i="15" s="1"/>
  <c r="R5" i="15"/>
  <c r="S6" i="15" s="1"/>
  <c r="L5" i="15"/>
  <c r="M6" i="15" s="1"/>
  <c r="N6" i="15" s="1"/>
  <c r="K5" i="15"/>
  <c r="L25" i="15" s="1"/>
  <c r="E5" i="15"/>
  <c r="F7" i="15" s="1"/>
  <c r="G7" i="15" s="1"/>
  <c r="D5" i="15"/>
  <c r="E20" i="15" s="1"/>
  <c r="Y27" i="14"/>
  <c r="Y21" i="14"/>
  <c r="Y15" i="14"/>
  <c r="R17" i="14"/>
  <c r="R11" i="14"/>
  <c r="S25" i="14" s="1"/>
  <c r="M24" i="14"/>
  <c r="F12" i="14"/>
  <c r="T15" i="14"/>
  <c r="S26" i="14"/>
  <c r="F26" i="14"/>
  <c r="Y25" i="14"/>
  <c r="S24" i="14"/>
  <c r="F24" i="14"/>
  <c r="T26" i="14"/>
  <c r="R23" i="14"/>
  <c r="K23" i="14"/>
  <c r="F25" i="14"/>
  <c r="D23" i="14"/>
  <c r="F23" i="14" s="1"/>
  <c r="T20" i="14"/>
  <c r="S20" i="14"/>
  <c r="M20" i="14"/>
  <c r="L20" i="14"/>
  <c r="F20" i="14"/>
  <c r="Y19" i="14"/>
  <c r="S19" i="14"/>
  <c r="T18" i="14"/>
  <c r="S18" i="14"/>
  <c r="T19" i="14"/>
  <c r="T17" i="14"/>
  <c r="M18" i="14"/>
  <c r="K17" i="14"/>
  <c r="M17" i="14" s="1"/>
  <c r="F18" i="14"/>
  <c r="D17" i="14"/>
  <c r="F17" i="14" s="1"/>
  <c r="S14" i="14"/>
  <c r="M14" i="14"/>
  <c r="F14" i="14"/>
  <c r="Y13" i="14"/>
  <c r="S13" i="14"/>
  <c r="M13" i="14"/>
  <c r="S12" i="14"/>
  <c r="M12" i="14"/>
  <c r="K11" i="14"/>
  <c r="M11" i="14" s="1"/>
  <c r="F13" i="14"/>
  <c r="D11" i="14"/>
  <c r="F11" i="14" s="1"/>
  <c r="Y9" i="14"/>
  <c r="T9" i="14"/>
  <c r="T8" i="14"/>
  <c r="S8" i="14"/>
  <c r="M8" i="14"/>
  <c r="L8" i="14"/>
  <c r="Y7" i="14"/>
  <c r="T6" i="14"/>
  <c r="T7" i="14"/>
  <c r="R5" i="14"/>
  <c r="S6" i="14" s="1"/>
  <c r="M6" i="14"/>
  <c r="K5" i="14"/>
  <c r="L25" i="14" s="1"/>
  <c r="F8" i="14"/>
  <c r="D5" i="14"/>
  <c r="E20" i="14" s="1"/>
  <c r="T23" i="15" l="1"/>
  <c r="T13" i="15"/>
  <c r="U13" i="15" s="1"/>
  <c r="M5" i="15"/>
  <c r="L24" i="15"/>
  <c r="L7" i="15"/>
  <c r="T9" i="15"/>
  <c r="U9" i="15" s="1"/>
  <c r="E14" i="15"/>
  <c r="F19" i="15"/>
  <c r="G19" i="15" s="1"/>
  <c r="E26" i="15"/>
  <c r="T11" i="15"/>
  <c r="M7" i="15"/>
  <c r="N7" i="15" s="1"/>
  <c r="N12" i="15"/>
  <c r="U20" i="15"/>
  <c r="N24" i="15"/>
  <c r="E7" i="15"/>
  <c r="T5" i="15"/>
  <c r="L19" i="15"/>
  <c r="E19" i="15"/>
  <c r="E6" i="15"/>
  <c r="S7" i="15"/>
  <c r="T12" i="15"/>
  <c r="U12" i="15" s="1"/>
  <c r="L14" i="15"/>
  <c r="M19" i="15"/>
  <c r="N19" i="15" s="1"/>
  <c r="T24" i="15"/>
  <c r="U24" i="15" s="1"/>
  <c r="L26" i="15"/>
  <c r="F6" i="15"/>
  <c r="G6" i="15" s="1"/>
  <c r="F5" i="15"/>
  <c r="E18" i="15"/>
  <c r="T25" i="15"/>
  <c r="U25" i="15" s="1"/>
  <c r="L6" i="15"/>
  <c r="E13" i="15"/>
  <c r="S14" i="15"/>
  <c r="E25" i="15"/>
  <c r="L12" i="15"/>
  <c r="E8" i="15"/>
  <c r="T14" i="15"/>
  <c r="U14" i="15" s="1"/>
  <c r="E12" i="15"/>
  <c r="F8" i="15"/>
  <c r="G8" i="15" s="1"/>
  <c r="L18" i="15"/>
  <c r="E24" i="15"/>
  <c r="L13" i="15"/>
  <c r="U8" i="14"/>
  <c r="M25" i="14"/>
  <c r="N25" i="14" s="1"/>
  <c r="M26" i="14"/>
  <c r="N26" i="14" s="1"/>
  <c r="M23" i="14"/>
  <c r="U26" i="14"/>
  <c r="N20" i="14"/>
  <c r="N12" i="14"/>
  <c r="N13" i="14"/>
  <c r="U9" i="14"/>
  <c r="N14" i="14"/>
  <c r="G26" i="14"/>
  <c r="U19" i="14"/>
  <c r="U18" i="14"/>
  <c r="G8" i="14"/>
  <c r="G24" i="14"/>
  <c r="G20" i="14"/>
  <c r="U20" i="14"/>
  <c r="G18" i="14"/>
  <c r="N6" i="14"/>
  <c r="G25" i="14"/>
  <c r="N8" i="14"/>
  <c r="G13" i="14"/>
  <c r="U15" i="14"/>
  <c r="N18" i="14"/>
  <c r="N24" i="14"/>
  <c r="G14" i="14"/>
  <c r="U7" i="14"/>
  <c r="G12" i="14"/>
  <c r="F5" i="14"/>
  <c r="L12" i="14"/>
  <c r="F7" i="14"/>
  <c r="G7" i="14" s="1"/>
  <c r="L19" i="14"/>
  <c r="T11" i="14"/>
  <c r="E12" i="14"/>
  <c r="T25" i="14"/>
  <c r="U25" i="14" s="1"/>
  <c r="L24" i="14"/>
  <c r="S7" i="14"/>
  <c r="T12" i="14"/>
  <c r="U12" i="14" s="1"/>
  <c r="L14" i="14"/>
  <c r="M19" i="14"/>
  <c r="N19" i="14" s="1"/>
  <c r="T24" i="14"/>
  <c r="U24" i="14" s="1"/>
  <c r="L26" i="14"/>
  <c r="U6" i="14"/>
  <c r="F6" i="14"/>
  <c r="G6" i="14" s="1"/>
  <c r="E19" i="14"/>
  <c r="E18" i="14"/>
  <c r="T23" i="14"/>
  <c r="E24" i="14"/>
  <c r="E7" i="14"/>
  <c r="T13" i="14"/>
  <c r="U13" i="14" s="1"/>
  <c r="L7" i="14"/>
  <c r="E14" i="14"/>
  <c r="E26" i="14"/>
  <c r="M7" i="14"/>
  <c r="N7" i="14" s="1"/>
  <c r="T5" i="14"/>
  <c r="L18" i="14"/>
  <c r="M5" i="14"/>
  <c r="F19" i="14"/>
  <c r="G19" i="14" s="1"/>
  <c r="E6" i="14"/>
  <c r="L6" i="14"/>
  <c r="E13" i="14"/>
  <c r="E25" i="14"/>
  <c r="E8" i="14"/>
  <c r="T14" i="14"/>
  <c r="U14" i="14" s="1"/>
  <c r="L13" i="14"/>
  <c r="U15" i="13" l="1"/>
  <c r="T15" i="13"/>
  <c r="U9" i="13"/>
  <c r="T9" i="13"/>
  <c r="Y27" i="13"/>
  <c r="Y25" i="13"/>
  <c r="Y24" i="13"/>
  <c r="Y21" i="13"/>
  <c r="Y19" i="13"/>
  <c r="Y18" i="13"/>
  <c r="Y15" i="13"/>
  <c r="Y13" i="13"/>
  <c r="Y12" i="13"/>
  <c r="Y7" i="13"/>
  <c r="Y6" i="13"/>
  <c r="E23" i="13"/>
  <c r="L23" i="13"/>
  <c r="S23" i="13"/>
  <c r="E17" i="13"/>
  <c r="F17" i="13"/>
  <c r="L17" i="13"/>
  <c r="S17" i="13"/>
  <c r="E11" i="13"/>
  <c r="L11" i="13"/>
  <c r="S11" i="13"/>
  <c r="E5" i="13"/>
  <c r="L5" i="13"/>
  <c r="S5" i="13"/>
  <c r="T7" i="13" s="1"/>
  <c r="M26" i="13"/>
  <c r="M25" i="13"/>
  <c r="L25" i="13"/>
  <c r="T24" i="13"/>
  <c r="M24" i="13"/>
  <c r="L24" i="13"/>
  <c r="T26" i="13"/>
  <c r="R23" i="13"/>
  <c r="T23" i="13" s="1"/>
  <c r="M23" i="13"/>
  <c r="K23" i="13"/>
  <c r="F25" i="13"/>
  <c r="D23" i="13"/>
  <c r="F23" i="13" s="1"/>
  <c r="L20" i="13"/>
  <c r="F20" i="13"/>
  <c r="E20" i="13"/>
  <c r="S19" i="13"/>
  <c r="M18" i="13"/>
  <c r="L18" i="13"/>
  <c r="E18" i="13"/>
  <c r="T19" i="13"/>
  <c r="R17" i="13"/>
  <c r="M19" i="13"/>
  <c r="K17" i="13"/>
  <c r="M17" i="13" s="1"/>
  <c r="F18" i="13"/>
  <c r="D17" i="13"/>
  <c r="T14" i="13"/>
  <c r="L14" i="13"/>
  <c r="F14" i="13"/>
  <c r="T13" i="13"/>
  <c r="S13" i="13"/>
  <c r="L13" i="13"/>
  <c r="F13" i="13"/>
  <c r="T12" i="13"/>
  <c r="S12" i="13"/>
  <c r="F12" i="13"/>
  <c r="T11" i="13"/>
  <c r="R11" i="13"/>
  <c r="S14" i="13" s="1"/>
  <c r="M14" i="13"/>
  <c r="K11" i="13"/>
  <c r="M11" i="13" s="1"/>
  <c r="D11" i="13"/>
  <c r="F11" i="13" s="1"/>
  <c r="M8" i="13"/>
  <c r="L8" i="13"/>
  <c r="E8" i="13"/>
  <c r="Y9" i="13"/>
  <c r="M7" i="13"/>
  <c r="L7" i="13"/>
  <c r="M6" i="13"/>
  <c r="L6" i="13"/>
  <c r="F6" i="13"/>
  <c r="E6" i="13"/>
  <c r="R5" i="13"/>
  <c r="S7" i="13" s="1"/>
  <c r="M5" i="13"/>
  <c r="K5" i="13"/>
  <c r="L26" i="13" s="1"/>
  <c r="F7" i="13"/>
  <c r="D5" i="13"/>
  <c r="E13" i="13" s="1"/>
  <c r="F8" i="13" l="1"/>
  <c r="M13" i="13"/>
  <c r="S18" i="13"/>
  <c r="S25" i="13"/>
  <c r="T18" i="13"/>
  <c r="M20" i="13"/>
  <c r="E24" i="13"/>
  <c r="T25" i="13"/>
  <c r="T6" i="13"/>
  <c r="G25" i="13" s="1"/>
  <c r="E12" i="13"/>
  <c r="E19" i="13"/>
  <c r="S20" i="13"/>
  <c r="S6" i="13"/>
  <c r="F19" i="13"/>
  <c r="T20" i="13"/>
  <c r="E26" i="13"/>
  <c r="T17" i="13"/>
  <c r="F24" i="13"/>
  <c r="F5" i="13"/>
  <c r="E7" i="13"/>
  <c r="S8" i="13"/>
  <c r="F26" i="13"/>
  <c r="T8" i="13"/>
  <c r="L12" i="13"/>
  <c r="E14" i="13"/>
  <c r="L19" i="13"/>
  <c r="M12" i="13"/>
  <c r="S24" i="13"/>
  <c r="E25" i="13"/>
  <c r="S26" i="13"/>
  <c r="T5" i="13"/>
  <c r="Y25" i="9"/>
  <c r="Y27" i="9" s="1"/>
  <c r="Y19" i="9"/>
  <c r="Y21" i="9" s="1"/>
  <c r="Y13" i="9"/>
  <c r="Y15" i="9" s="1"/>
  <c r="Y7" i="9"/>
  <c r="Y9" i="9" s="1"/>
  <c r="Y25" i="12"/>
  <c r="Y27" i="12" s="1"/>
  <c r="Y19" i="12"/>
  <c r="Y21" i="12" s="1"/>
  <c r="Y13" i="12"/>
  <c r="Y15" i="12" s="1"/>
  <c r="Y7" i="12"/>
  <c r="Y9" i="12" s="1"/>
  <c r="S23" i="12"/>
  <c r="T26" i="12" s="1"/>
  <c r="L23" i="12"/>
  <c r="M26" i="12" s="1"/>
  <c r="E23" i="12"/>
  <c r="F24" i="12" s="1"/>
  <c r="S17" i="12"/>
  <c r="T20" i="12" s="1"/>
  <c r="L17" i="12"/>
  <c r="M20" i="12" s="1"/>
  <c r="E17" i="12"/>
  <c r="F20" i="12" s="1"/>
  <c r="S11" i="12"/>
  <c r="T14" i="12" s="1"/>
  <c r="L11" i="12"/>
  <c r="M13" i="12" s="1"/>
  <c r="E11" i="12"/>
  <c r="F13" i="12" s="1"/>
  <c r="S5" i="12"/>
  <c r="T7" i="12" s="1"/>
  <c r="L5" i="12"/>
  <c r="M6" i="12" s="1"/>
  <c r="E5" i="12"/>
  <c r="R23" i="12"/>
  <c r="T23" i="12" s="1"/>
  <c r="K23" i="12"/>
  <c r="D23" i="12"/>
  <c r="F23" i="12" s="1"/>
  <c r="R17" i="12"/>
  <c r="K17" i="12"/>
  <c r="D17" i="12"/>
  <c r="F17" i="12" s="1"/>
  <c r="R11" i="12"/>
  <c r="T11" i="12" s="1"/>
  <c r="K11" i="12"/>
  <c r="M11" i="12" s="1"/>
  <c r="D11" i="12"/>
  <c r="F11" i="12" s="1"/>
  <c r="R5" i="12"/>
  <c r="K5" i="12"/>
  <c r="D5" i="12"/>
  <c r="E23" i="11"/>
  <c r="F24" i="11" s="1"/>
  <c r="E17" i="11"/>
  <c r="F19" i="11" s="1"/>
  <c r="E11" i="11"/>
  <c r="F14" i="11" s="1"/>
  <c r="E5" i="11"/>
  <c r="S23" i="11"/>
  <c r="T26" i="11" s="1"/>
  <c r="S17" i="11"/>
  <c r="T19" i="11" s="1"/>
  <c r="S11" i="11"/>
  <c r="T13" i="11" s="1"/>
  <c r="L23" i="11"/>
  <c r="M25" i="11" s="1"/>
  <c r="L17" i="11"/>
  <c r="M19" i="11" s="1"/>
  <c r="L11" i="11"/>
  <c r="M12" i="11" s="1"/>
  <c r="L5" i="11"/>
  <c r="S5" i="11"/>
  <c r="K23" i="11"/>
  <c r="M23" i="11" s="1"/>
  <c r="R23" i="11"/>
  <c r="D23" i="11"/>
  <c r="R17" i="11"/>
  <c r="K17" i="11"/>
  <c r="D17" i="11"/>
  <c r="F17" i="11" s="1"/>
  <c r="R11" i="11"/>
  <c r="K11" i="11"/>
  <c r="D11" i="11"/>
  <c r="F11" i="11" s="1"/>
  <c r="R5" i="11"/>
  <c r="K5" i="11"/>
  <c r="D5" i="11"/>
  <c r="K11" i="9"/>
  <c r="M11" i="9" s="1"/>
  <c r="E23" i="9"/>
  <c r="F24" i="9" s="1"/>
  <c r="L23" i="9"/>
  <c r="M26" i="9" s="1"/>
  <c r="S23" i="9"/>
  <c r="T25" i="9" s="1"/>
  <c r="E17" i="9"/>
  <c r="F19" i="9" s="1"/>
  <c r="L17" i="9"/>
  <c r="M19" i="9" s="1"/>
  <c r="S17" i="9"/>
  <c r="T18" i="9" s="1"/>
  <c r="E11" i="9"/>
  <c r="F13" i="9" s="1"/>
  <c r="L11" i="9"/>
  <c r="M14" i="9" s="1"/>
  <c r="S11" i="9"/>
  <c r="T13" i="9" s="1"/>
  <c r="E5" i="9"/>
  <c r="L5" i="9"/>
  <c r="M7" i="9" s="1"/>
  <c r="S5" i="9"/>
  <c r="T8" i="9" s="1"/>
  <c r="R23" i="9"/>
  <c r="K23" i="9"/>
  <c r="M23" i="9" s="1"/>
  <c r="D23" i="9"/>
  <c r="F23" i="9" s="1"/>
  <c r="R17" i="9"/>
  <c r="T17" i="9" s="1"/>
  <c r="K17" i="9"/>
  <c r="M17" i="9" s="1"/>
  <c r="D17" i="9"/>
  <c r="R11" i="9"/>
  <c r="D11" i="9"/>
  <c r="F11" i="9" s="1"/>
  <c r="R5" i="9"/>
  <c r="K5" i="9"/>
  <c r="D5" i="9"/>
  <c r="D5" i="7"/>
  <c r="D18" i="7"/>
  <c r="D8" i="7"/>
  <c r="L14" i="7"/>
  <c r="L13" i="7"/>
  <c r="L12" i="7"/>
  <c r="L11" i="7"/>
  <c r="L10" i="7"/>
  <c r="L6" i="7"/>
  <c r="L8" i="7"/>
  <c r="L27" i="7"/>
  <c r="H27" i="7"/>
  <c r="D27" i="7"/>
  <c r="L26" i="7"/>
  <c r="H26" i="7"/>
  <c r="D26" i="7"/>
  <c r="L25" i="7"/>
  <c r="H25" i="7"/>
  <c r="D25" i="7"/>
  <c r="L24" i="7"/>
  <c r="H24" i="7"/>
  <c r="D24" i="7"/>
  <c r="L23" i="7"/>
  <c r="H23" i="7"/>
  <c r="D23" i="7"/>
  <c r="L22" i="7"/>
  <c r="H22" i="7"/>
  <c r="D22" i="7"/>
  <c r="L21" i="7"/>
  <c r="H21" i="7"/>
  <c r="D21" i="7"/>
  <c r="L20" i="7"/>
  <c r="H20" i="7"/>
  <c r="D20" i="7"/>
  <c r="L19" i="7"/>
  <c r="H19" i="7"/>
  <c r="D19" i="7"/>
  <c r="L18" i="7"/>
  <c r="H18" i="7"/>
  <c r="K17" i="7"/>
  <c r="G17" i="7"/>
  <c r="C17" i="7"/>
  <c r="H14" i="7"/>
  <c r="D14" i="7"/>
  <c r="H13" i="7"/>
  <c r="D13" i="7"/>
  <c r="H12" i="7"/>
  <c r="D12" i="7"/>
  <c r="H11" i="7"/>
  <c r="D11" i="7"/>
  <c r="H10" i="7"/>
  <c r="D10" i="7"/>
  <c r="L9" i="7"/>
  <c r="H9" i="7"/>
  <c r="D9" i="7"/>
  <c r="H8" i="7"/>
  <c r="L7" i="7"/>
  <c r="H7" i="7"/>
  <c r="D7" i="7"/>
  <c r="H6" i="7"/>
  <c r="D6" i="7"/>
  <c r="L5" i="7"/>
  <c r="H5" i="7"/>
  <c r="K4" i="7"/>
  <c r="G4" i="7"/>
  <c r="C4" i="7"/>
  <c r="L27" i="6"/>
  <c r="H27" i="6"/>
  <c r="D27" i="6"/>
  <c r="L26" i="6"/>
  <c r="H26" i="6"/>
  <c r="D26" i="6"/>
  <c r="L25" i="6"/>
  <c r="H25" i="6"/>
  <c r="D25" i="6"/>
  <c r="L24" i="6"/>
  <c r="H24" i="6"/>
  <c r="D24" i="6"/>
  <c r="L23" i="6"/>
  <c r="H23" i="6"/>
  <c r="D23" i="6"/>
  <c r="L22" i="6"/>
  <c r="H22" i="6"/>
  <c r="D22" i="6"/>
  <c r="L21" i="6"/>
  <c r="H21" i="6"/>
  <c r="D21" i="6"/>
  <c r="L20" i="6"/>
  <c r="H20" i="6"/>
  <c r="D20" i="6"/>
  <c r="L19" i="6"/>
  <c r="H19" i="6"/>
  <c r="D19" i="6"/>
  <c r="L18" i="6"/>
  <c r="H18" i="6"/>
  <c r="D18" i="6"/>
  <c r="K17" i="6"/>
  <c r="G17" i="6"/>
  <c r="C17" i="6"/>
  <c r="L14" i="6"/>
  <c r="H14" i="6"/>
  <c r="D14" i="6"/>
  <c r="L13" i="6"/>
  <c r="H13" i="6"/>
  <c r="D13" i="6"/>
  <c r="L12" i="6"/>
  <c r="H12" i="6"/>
  <c r="D12" i="6"/>
  <c r="L11" i="6"/>
  <c r="H11" i="6"/>
  <c r="D11" i="6"/>
  <c r="L10" i="6"/>
  <c r="H10" i="6"/>
  <c r="D10" i="6"/>
  <c r="L9" i="6"/>
  <c r="H9" i="6"/>
  <c r="D9" i="6"/>
  <c r="L8" i="6"/>
  <c r="H8" i="6"/>
  <c r="D8" i="6"/>
  <c r="L7" i="6"/>
  <c r="H7" i="6"/>
  <c r="D7" i="6"/>
  <c r="L6" i="6"/>
  <c r="H6" i="6"/>
  <c r="D6" i="6"/>
  <c r="L5" i="6"/>
  <c r="H5" i="6"/>
  <c r="D5" i="6"/>
  <c r="K4" i="6"/>
  <c r="G4" i="6"/>
  <c r="C4" i="6"/>
  <c r="H27" i="5"/>
  <c r="L23" i="5"/>
  <c r="H13" i="5"/>
  <c r="L27" i="5"/>
  <c r="D27" i="5"/>
  <c r="H26" i="5"/>
  <c r="D26" i="5"/>
  <c r="L26" i="5"/>
  <c r="H25" i="5"/>
  <c r="D25" i="5"/>
  <c r="L25" i="5"/>
  <c r="H24" i="5"/>
  <c r="D24" i="5"/>
  <c r="L24" i="5"/>
  <c r="H23" i="5"/>
  <c r="D23" i="5"/>
  <c r="L22" i="5"/>
  <c r="H22" i="5"/>
  <c r="D22" i="5"/>
  <c r="L21" i="5"/>
  <c r="H21" i="5"/>
  <c r="D21" i="5"/>
  <c r="L20" i="5"/>
  <c r="H20" i="5"/>
  <c r="D20" i="5"/>
  <c r="L19" i="5"/>
  <c r="H19" i="5"/>
  <c r="D19" i="5"/>
  <c r="L18" i="5"/>
  <c r="H18" i="5"/>
  <c r="D18" i="5"/>
  <c r="K17" i="5"/>
  <c r="G17" i="5"/>
  <c r="C17" i="5"/>
  <c r="L10" i="5"/>
  <c r="D14" i="5"/>
  <c r="L11" i="5"/>
  <c r="H14" i="5"/>
  <c r="D13" i="5"/>
  <c r="L9" i="5"/>
  <c r="H12" i="5"/>
  <c r="D12" i="5"/>
  <c r="L13" i="5"/>
  <c r="H11" i="5"/>
  <c r="D11" i="5"/>
  <c r="L8" i="5"/>
  <c r="H10" i="5"/>
  <c r="D10" i="5"/>
  <c r="L6" i="5"/>
  <c r="H9" i="5"/>
  <c r="D9" i="5"/>
  <c r="L7" i="5"/>
  <c r="H8" i="5"/>
  <c r="D8" i="5"/>
  <c r="L14" i="5"/>
  <c r="H7" i="5"/>
  <c r="D7" i="5"/>
  <c r="L5" i="5"/>
  <c r="H6" i="5"/>
  <c r="D6" i="5"/>
  <c r="L12" i="5"/>
  <c r="H5" i="5"/>
  <c r="D5" i="5"/>
  <c r="K4" i="5"/>
  <c r="G4" i="5"/>
  <c r="C4" i="5"/>
  <c r="G12" i="13" l="1"/>
  <c r="G18" i="13"/>
  <c r="U8" i="13"/>
  <c r="G26" i="13"/>
  <c r="U18" i="13"/>
  <c r="N8" i="13"/>
  <c r="G24" i="13"/>
  <c r="N18" i="13"/>
  <c r="G20" i="13"/>
  <c r="N25" i="13"/>
  <c r="N13" i="13"/>
  <c r="N24" i="13"/>
  <c r="U19" i="13"/>
  <c r="U25" i="13"/>
  <c r="N26" i="13"/>
  <c r="U20" i="13"/>
  <c r="U14" i="13"/>
  <c r="N7" i="13"/>
  <c r="G8" i="13"/>
  <c r="G19" i="13"/>
  <c r="G7" i="13"/>
  <c r="N19" i="13"/>
  <c r="N12" i="13"/>
  <c r="G13" i="13"/>
  <c r="U13" i="13"/>
  <c r="U6" i="13"/>
  <c r="G14" i="13"/>
  <c r="N14" i="13"/>
  <c r="N20" i="13"/>
  <c r="G6" i="13"/>
  <c r="U12" i="13"/>
  <c r="U7" i="13"/>
  <c r="U24" i="13"/>
  <c r="U26" i="13"/>
  <c r="N6" i="13"/>
  <c r="F17" i="9"/>
  <c r="M17" i="12"/>
  <c r="S24" i="9"/>
  <c r="T11" i="9"/>
  <c r="E19" i="11"/>
  <c r="F5" i="11"/>
  <c r="T17" i="12"/>
  <c r="M23" i="12"/>
  <c r="T23" i="9"/>
  <c r="M11" i="11"/>
  <c r="F25" i="11"/>
  <c r="S19" i="11"/>
  <c r="T11" i="11"/>
  <c r="M25" i="9"/>
  <c r="T26" i="9"/>
  <c r="S7" i="11"/>
  <c r="T5" i="11"/>
  <c r="M17" i="11"/>
  <c r="E26" i="9"/>
  <c r="F5" i="9"/>
  <c r="T17" i="11"/>
  <c r="E8" i="12"/>
  <c r="F5" i="12"/>
  <c r="L19" i="9"/>
  <c r="M5" i="9"/>
  <c r="F23" i="11"/>
  <c r="L18" i="12"/>
  <c r="M5" i="12"/>
  <c r="L20" i="11"/>
  <c r="M5" i="11"/>
  <c r="T5" i="9"/>
  <c r="T23" i="11"/>
  <c r="T5" i="12"/>
  <c r="M14" i="12"/>
  <c r="M19" i="12"/>
  <c r="M24" i="12"/>
  <c r="S8" i="12"/>
  <c r="S14" i="11"/>
  <c r="S19" i="12"/>
  <c r="S24" i="12"/>
  <c r="S14" i="12"/>
  <c r="Y26" i="9"/>
  <c r="Y14" i="9"/>
  <c r="F26" i="9"/>
  <c r="Y20" i="9"/>
  <c r="Y8" i="9"/>
  <c r="T20" i="9"/>
  <c r="F14" i="9"/>
  <c r="T6" i="9"/>
  <c r="U6" i="9" s="1"/>
  <c r="T24" i="9"/>
  <c r="Y8" i="12"/>
  <c r="M12" i="12"/>
  <c r="F19" i="12"/>
  <c r="F26" i="12"/>
  <c r="M18" i="12"/>
  <c r="F25" i="12"/>
  <c r="Y20" i="12"/>
  <c r="T12" i="12"/>
  <c r="M25" i="12"/>
  <c r="T13" i="12"/>
  <c r="T18" i="12"/>
  <c r="S20" i="12"/>
  <c r="F12" i="12"/>
  <c r="T19" i="12"/>
  <c r="T24" i="12"/>
  <c r="F14" i="12"/>
  <c r="F18" i="12"/>
  <c r="T25" i="12"/>
  <c r="M24" i="9"/>
  <c r="F12" i="9"/>
  <c r="F25" i="9"/>
  <c r="T19" i="9"/>
  <c r="F18" i="9"/>
  <c r="M13" i="9"/>
  <c r="T12" i="9"/>
  <c r="M12" i="9"/>
  <c r="F20" i="9"/>
  <c r="M18" i="9"/>
  <c r="T14" i="9"/>
  <c r="M20" i="9"/>
  <c r="F26" i="11"/>
  <c r="M26" i="11"/>
  <c r="L7" i="11"/>
  <c r="E12" i="11"/>
  <c r="F12" i="11"/>
  <c r="M24" i="11"/>
  <c r="F13" i="11"/>
  <c r="M14" i="11"/>
  <c r="T12" i="11"/>
  <c r="T25" i="11"/>
  <c r="F18" i="11"/>
  <c r="M13" i="11"/>
  <c r="T14" i="11"/>
  <c r="F20" i="11"/>
  <c r="M18" i="11"/>
  <c r="M20" i="11"/>
  <c r="T18" i="11"/>
  <c r="L26" i="11"/>
  <c r="T20" i="11"/>
  <c r="T24" i="11"/>
  <c r="Y26" i="12"/>
  <c r="Y14" i="12"/>
  <c r="S6" i="11"/>
  <c r="S12" i="11"/>
  <c r="L24" i="11"/>
  <c r="S8" i="11"/>
  <c r="L13" i="11"/>
  <c r="S25" i="11"/>
  <c r="S18" i="12"/>
  <c r="S12" i="12"/>
  <c r="S13" i="12"/>
  <c r="L13" i="12"/>
  <c r="S25" i="12"/>
  <c r="S7" i="12"/>
  <c r="S26" i="12"/>
  <c r="L24" i="12"/>
  <c r="L26" i="12"/>
  <c r="L8" i="12"/>
  <c r="E20" i="12"/>
  <c r="L12" i="12"/>
  <c r="L14" i="12"/>
  <c r="L25" i="12"/>
  <c r="E25" i="12"/>
  <c r="E7" i="12"/>
  <c r="E13" i="12"/>
  <c r="E24" i="12"/>
  <c r="S6" i="12"/>
  <c r="E19" i="12"/>
  <c r="L20" i="12"/>
  <c r="E12" i="12"/>
  <c r="E14" i="12"/>
  <c r="L6" i="12"/>
  <c r="E18" i="12"/>
  <c r="L19" i="12"/>
  <c r="F7" i="12"/>
  <c r="M8" i="12"/>
  <c r="E26" i="12"/>
  <c r="E6" i="12"/>
  <c r="L7" i="12"/>
  <c r="F6" i="12"/>
  <c r="T6" i="12"/>
  <c r="M7" i="12"/>
  <c r="F8" i="12"/>
  <c r="T8" i="12"/>
  <c r="L6" i="11"/>
  <c r="E7" i="11"/>
  <c r="L8" i="11"/>
  <c r="E18" i="11"/>
  <c r="S18" i="11"/>
  <c r="L19" i="11"/>
  <c r="E20" i="11"/>
  <c r="S20" i="11"/>
  <c r="E25" i="11"/>
  <c r="M6" i="11"/>
  <c r="F7" i="11"/>
  <c r="T7" i="11"/>
  <c r="M8" i="11"/>
  <c r="L12" i="11"/>
  <c r="E13" i="11"/>
  <c r="S13" i="11"/>
  <c r="L14" i="11"/>
  <c r="E24" i="11"/>
  <c r="S24" i="11"/>
  <c r="L25" i="11"/>
  <c r="E26" i="11"/>
  <c r="S26" i="11"/>
  <c r="E14" i="11"/>
  <c r="E6" i="11"/>
  <c r="E8" i="11"/>
  <c r="L18" i="11"/>
  <c r="F6" i="11"/>
  <c r="T6" i="11"/>
  <c r="G19" i="11" s="1"/>
  <c r="M7" i="11"/>
  <c r="F8" i="11"/>
  <c r="T8" i="11"/>
  <c r="E12" i="9"/>
  <c r="S12" i="9"/>
  <c r="S14" i="9"/>
  <c r="S13" i="9"/>
  <c r="S25" i="9"/>
  <c r="S26" i="9"/>
  <c r="S18" i="9"/>
  <c r="F7" i="9"/>
  <c r="S19" i="9"/>
  <c r="S20" i="9"/>
  <c r="L12" i="9"/>
  <c r="M6" i="9"/>
  <c r="M8" i="9"/>
  <c r="T7" i="9"/>
  <c r="F6" i="9"/>
  <c r="F8" i="9"/>
  <c r="L6" i="9"/>
  <c r="L20" i="9"/>
  <c r="E14" i="9"/>
  <c r="L7" i="9"/>
  <c r="L24" i="9"/>
  <c r="E7" i="9"/>
  <c r="E25" i="9"/>
  <c r="L18" i="9"/>
  <c r="S8" i="9"/>
  <c r="E13" i="9"/>
  <c r="E18" i="9"/>
  <c r="L8" i="9"/>
  <c r="L25" i="9"/>
  <c r="E19" i="9"/>
  <c r="L26" i="9"/>
  <c r="E6" i="9"/>
  <c r="E20" i="9"/>
  <c r="L13" i="9"/>
  <c r="S6" i="9"/>
  <c r="E8" i="9"/>
  <c r="E24" i="9"/>
  <c r="L14" i="9"/>
  <c r="S7" i="9"/>
  <c r="L27" i="4"/>
  <c r="H27" i="4"/>
  <c r="D27" i="4"/>
  <c r="L26" i="4"/>
  <c r="H26" i="4"/>
  <c r="D26" i="4"/>
  <c r="L25" i="4"/>
  <c r="H25" i="4"/>
  <c r="D25" i="4"/>
  <c r="L24" i="4"/>
  <c r="H24" i="4"/>
  <c r="D24" i="4"/>
  <c r="L23" i="4"/>
  <c r="H23" i="4"/>
  <c r="D23" i="4"/>
  <c r="L22" i="4"/>
  <c r="H22" i="4"/>
  <c r="D22" i="4"/>
  <c r="L21" i="4"/>
  <c r="H21" i="4"/>
  <c r="D21" i="4"/>
  <c r="L20" i="4"/>
  <c r="H20" i="4"/>
  <c r="D20" i="4"/>
  <c r="L19" i="4"/>
  <c r="H19" i="4"/>
  <c r="D19" i="4"/>
  <c r="L18" i="4"/>
  <c r="H18" i="4"/>
  <c r="D18" i="4"/>
  <c r="K17" i="4"/>
  <c r="G17" i="4"/>
  <c r="C17" i="4"/>
  <c r="L14" i="4"/>
  <c r="H14" i="4"/>
  <c r="D14" i="4"/>
  <c r="L13" i="4"/>
  <c r="H13" i="4"/>
  <c r="D13" i="4"/>
  <c r="L12" i="4"/>
  <c r="H12" i="4"/>
  <c r="D12" i="4"/>
  <c r="L11" i="4"/>
  <c r="H11" i="4"/>
  <c r="D11" i="4"/>
  <c r="L10" i="4"/>
  <c r="H10" i="4"/>
  <c r="D10" i="4"/>
  <c r="L9" i="4"/>
  <c r="H9" i="4"/>
  <c r="D9" i="4"/>
  <c r="L8" i="4"/>
  <c r="H8" i="4"/>
  <c r="D8" i="4"/>
  <c r="L7" i="4"/>
  <c r="H7" i="4"/>
  <c r="D7" i="4"/>
  <c r="L6" i="4"/>
  <c r="H6" i="4"/>
  <c r="D6" i="4"/>
  <c r="L5" i="4"/>
  <c r="H5" i="4"/>
  <c r="D5" i="4"/>
  <c r="K4" i="4"/>
  <c r="G4" i="4"/>
  <c r="C4" i="4"/>
  <c r="U8" i="9" l="1"/>
  <c r="G19" i="12"/>
  <c r="U7" i="9"/>
  <c r="G25" i="12"/>
  <c r="G6" i="12"/>
  <c r="G26" i="12"/>
  <c r="U25" i="12"/>
  <c r="N18" i="12"/>
  <c r="N25" i="12"/>
  <c r="U7" i="12"/>
  <c r="U13" i="12"/>
  <c r="G13" i="12"/>
  <c r="U8" i="12"/>
  <c r="N19" i="12"/>
  <c r="G14" i="12"/>
  <c r="U24" i="12"/>
  <c r="U14" i="12"/>
  <c r="N24" i="12"/>
  <c r="N26" i="12"/>
  <c r="N13" i="12"/>
  <c r="G8" i="12"/>
  <c r="N8" i="12"/>
  <c r="G12" i="12"/>
  <c r="G20" i="12"/>
  <c r="G24" i="12"/>
  <c r="U20" i="12"/>
  <c r="U12" i="12"/>
  <c r="U19" i="12"/>
  <c r="N7" i="12"/>
  <c r="G7" i="12"/>
  <c r="G18" i="12"/>
  <c r="N14" i="12"/>
  <c r="U18" i="12"/>
  <c r="U6" i="12"/>
  <c r="U26" i="12"/>
  <c r="N12" i="12"/>
  <c r="N20" i="12"/>
  <c r="N6" i="12"/>
  <c r="G13" i="11"/>
  <c r="N20" i="11"/>
  <c r="N12" i="11"/>
  <c r="U18" i="11"/>
  <c r="G18" i="11"/>
  <c r="G25" i="11"/>
  <c r="G24" i="11"/>
  <c r="N14" i="11"/>
  <c r="U8" i="11"/>
  <c r="U13" i="11"/>
  <c r="N8" i="11"/>
  <c r="N24" i="11"/>
  <c r="G8" i="11"/>
  <c r="U7" i="11"/>
  <c r="U14" i="11"/>
  <c r="G7" i="11"/>
  <c r="G14" i="11"/>
  <c r="N18" i="11"/>
  <c r="N7" i="11"/>
  <c r="U6" i="11"/>
  <c r="G26" i="11"/>
  <c r="U20" i="11"/>
  <c r="N6" i="11"/>
  <c r="N13" i="11"/>
  <c r="U25" i="11"/>
  <c r="U26" i="11"/>
  <c r="G6" i="11"/>
  <c r="N25" i="11"/>
  <c r="G20" i="11"/>
  <c r="U12" i="11"/>
  <c r="U24" i="11"/>
  <c r="N19" i="11"/>
  <c r="N26" i="11"/>
  <c r="G12" i="11"/>
  <c r="U19" i="11"/>
  <c r="G18" i="9"/>
  <c r="G20" i="9"/>
  <c r="N13" i="9"/>
  <c r="U14" i="9"/>
  <c r="U18" i="9"/>
  <c r="G19" i="9"/>
  <c r="U20" i="9"/>
  <c r="G12" i="9"/>
  <c r="G6" i="9"/>
  <c r="U24" i="9"/>
  <c r="U12" i="9"/>
  <c r="N12" i="9"/>
  <c r="U13" i="9"/>
  <c r="U25" i="9"/>
  <c r="N14" i="9"/>
  <c r="G14" i="9"/>
  <c r="U26" i="9"/>
  <c r="U19" i="9"/>
  <c r="G13" i="9"/>
  <c r="N26" i="9"/>
  <c r="N7" i="9"/>
  <c r="N24" i="9"/>
  <c r="N18" i="9"/>
  <c r="N6" i="9"/>
  <c r="N25" i="9"/>
  <c r="N20" i="9"/>
  <c r="N19" i="9"/>
  <c r="N8" i="9"/>
  <c r="G26" i="9"/>
  <c r="G24" i="9"/>
  <c r="G7" i="9"/>
  <c r="G25" i="9"/>
  <c r="G8" i="9"/>
  <c r="C17" i="1"/>
  <c r="G17" i="1"/>
  <c r="K17" i="1"/>
  <c r="K4" i="1"/>
  <c r="G4" i="1"/>
  <c r="C4" i="1"/>
  <c r="D19" i="1" l="1"/>
  <c r="D20" i="1"/>
  <c r="D21" i="1"/>
  <c r="D22" i="1"/>
  <c r="D23" i="1"/>
  <c r="D24" i="1"/>
  <c r="D25" i="1"/>
  <c r="D26" i="1"/>
  <c r="D27" i="1"/>
  <c r="D18" i="1"/>
  <c r="H19" i="1"/>
  <c r="H20" i="1"/>
  <c r="H21" i="1"/>
  <c r="H22" i="1"/>
  <c r="H23" i="1"/>
  <c r="H24" i="1"/>
  <c r="H25" i="1"/>
  <c r="H26" i="1"/>
  <c r="H27" i="1"/>
  <c r="H18" i="1"/>
  <c r="L19" i="1"/>
  <c r="L20" i="1"/>
  <c r="L21" i="1"/>
  <c r="L22" i="1"/>
  <c r="L23" i="1"/>
  <c r="L24" i="1"/>
  <c r="L25" i="1"/>
  <c r="L26" i="1"/>
  <c r="L27" i="1"/>
  <c r="L18" i="1"/>
  <c r="L14" i="1"/>
  <c r="L13" i="1"/>
  <c r="L12" i="1"/>
  <c r="L11" i="1"/>
  <c r="L10" i="1"/>
  <c r="L9" i="1"/>
  <c r="L8" i="1"/>
  <c r="L7" i="1"/>
  <c r="L6" i="1"/>
  <c r="L5" i="1"/>
  <c r="H14" i="1"/>
  <c r="H13" i="1"/>
  <c r="H12" i="1"/>
  <c r="H11" i="1"/>
  <c r="H10" i="1"/>
  <c r="H9" i="1"/>
  <c r="H8" i="1"/>
  <c r="H7" i="1"/>
  <c r="H6" i="1"/>
  <c r="H5" i="1"/>
  <c r="D6" i="1"/>
  <c r="D7" i="1"/>
  <c r="D8" i="1"/>
  <c r="D9" i="1"/>
  <c r="D10" i="1"/>
  <c r="D11" i="1"/>
  <c r="D12" i="1"/>
  <c r="D13" i="1"/>
  <c r="D14" i="1"/>
  <c r="D5" i="1"/>
</calcChain>
</file>

<file path=xl/sharedStrings.xml><?xml version="1.0" encoding="utf-8"?>
<sst xmlns="http://schemas.openxmlformats.org/spreadsheetml/2006/main" count="927" uniqueCount="431">
  <si>
    <t>Il convient de veiller au respect du temps total des équipes. Le meilleur temps de chaque parcours est donc d’environ 15 % inférieur au temps de référence.</t>
  </si>
  <si>
    <t>N1 - 20'</t>
  </si>
  <si>
    <t>CLOUARD Lucile</t>
  </si>
  <si>
    <t>BORNARD Nicolas</t>
  </si>
  <si>
    <t>BARRIER Simon</t>
  </si>
  <si>
    <t>DROIN Solène</t>
  </si>
  <si>
    <t>FINAS Céline</t>
  </si>
  <si>
    <t>VILLAR Aurélie</t>
  </si>
  <si>
    <t>BORNARD Julie</t>
  </si>
  <si>
    <t>PICAZO Marie</t>
  </si>
  <si>
    <t>DOURDOU-VARRON Malo</t>
  </si>
  <si>
    <t>HABERKORN Valérie</t>
  </si>
  <si>
    <t>N1 - 30'</t>
  </si>
  <si>
    <t>N1 - 50'</t>
  </si>
  <si>
    <t>CHATELON David</t>
  </si>
  <si>
    <t>ARNOULD Louis</t>
  </si>
  <si>
    <t>PERRIN Eric</t>
  </si>
  <si>
    <t>TOULIER--ANCIAN Lucas</t>
  </si>
  <si>
    <t>DUBOIS Rémi</t>
  </si>
  <si>
    <t>DECHAVANNE Franck</t>
  </si>
  <si>
    <t>RAUTURIER Quentin</t>
  </si>
  <si>
    <t>ESTELA Olivier</t>
  </si>
  <si>
    <t>CHATAING Amélie</t>
  </si>
  <si>
    <t>ROUX Corentin</t>
  </si>
  <si>
    <t>COUPAT Vincent</t>
  </si>
  <si>
    <t>MENGIN Bastien</t>
  </si>
  <si>
    <t>LEPOUTRE Benjamin</t>
  </si>
  <si>
    <t>BOURRIN Jean-Baptiste</t>
  </si>
  <si>
    <t>RINGOT Mathieu</t>
  </si>
  <si>
    <t>PUECH Matthieu</t>
  </si>
  <si>
    <t>POUPARD Thibaut</t>
  </si>
  <si>
    <t>TRANCHAND Frédéric</t>
  </si>
  <si>
    <t>CRESPIN Célestin</t>
  </si>
  <si>
    <t>RAUTURIER Maxime</t>
  </si>
  <si>
    <t>N2 - 20'</t>
  </si>
  <si>
    <t>N2 - 30'</t>
  </si>
  <si>
    <t>N2 - 40'</t>
  </si>
  <si>
    <t>ZINCA Ionut</t>
  </si>
  <si>
    <t>BLANC-TRANCHANT Olivier</t>
  </si>
  <si>
    <t>DLABAJA Tomas</t>
  </si>
  <si>
    <t>LEROY Simon</t>
  </si>
  <si>
    <t>GUEORGIOU Rémi</t>
  </si>
  <si>
    <t>FLEURENT Théo</t>
  </si>
  <si>
    <t>PONCET Clément</t>
  </si>
  <si>
    <t>LAPEYRE Frédérique</t>
  </si>
  <si>
    <t>DUPUY Francis</t>
  </si>
  <si>
    <t>SUTTER Olivier</t>
  </si>
  <si>
    <t>MERIGUET Thomas</t>
  </si>
  <si>
    <t>CHABANCE Maxime</t>
  </si>
  <si>
    <t>BOBIN Philippe</t>
  </si>
  <si>
    <t>PERRIN Arnaud</t>
  </si>
  <si>
    <t>CHASTEL Vincent</t>
  </si>
  <si>
    <t>BEILL Cédric</t>
  </si>
  <si>
    <t>BRULPORT David</t>
  </si>
  <si>
    <t>CHARBONNIER Olivier</t>
  </si>
  <si>
    <t>RADONDY Daniel</t>
  </si>
  <si>
    <t>ROGER Aymeric</t>
  </si>
  <si>
    <t>FLICOTEAUX Emmanuel</t>
  </si>
  <si>
    <t>VOLPATO Augustin</t>
  </si>
  <si>
    <t>LEDUC Jean-Christophe</t>
  </si>
  <si>
    <t>BINAY Sarah</t>
  </si>
  <si>
    <t>GUIBAUD Jenny</t>
  </si>
  <si>
    <t>FERRAND Antonin</t>
  </si>
  <si>
    <t>CHARDOT Julia</t>
  </si>
  <si>
    <t>LE ROUX Erwan</t>
  </si>
  <si>
    <t>HANAUER Florence</t>
  </si>
  <si>
    <t>MAKOVICA Véronique</t>
  </si>
  <si>
    <t>HUMMEL-AZAIS Margaux</t>
  </si>
  <si>
    <t>BAYLOT Baptiste</t>
  </si>
  <si>
    <t>CHATELON Lucile</t>
  </si>
  <si>
    <t>DENAIX Lou</t>
  </si>
  <si>
    <t>BASSET Fiona</t>
  </si>
  <si>
    <t>THOURET Anne</t>
  </si>
  <si>
    <t>GUINOT Thibaut</t>
  </si>
  <si>
    <t>GARDE Yoann</t>
  </si>
  <si>
    <t>TINCHANT Johann</t>
  </si>
  <si>
    <t>DECHAVANNE Laurent</t>
  </si>
  <si>
    <t>D'HARREVILLE Karine</t>
  </si>
  <si>
    <t>CHATELAIN Grégoire</t>
  </si>
  <si>
    <t>LOUVET Franck</t>
  </si>
  <si>
    <t>POIROT Delphine</t>
  </si>
  <si>
    <t>PASQUASY Fabien</t>
  </si>
  <si>
    <t>BASSET Lucas</t>
  </si>
  <si>
    <t>COUPAT Olivier</t>
  </si>
  <si>
    <t>GONON François</t>
  </si>
  <si>
    <t>MAGNE Thibaut</t>
  </si>
  <si>
    <t>BAUDOT Rémi</t>
  </si>
  <si>
    <t>BUTIN Pierrick</t>
  </si>
  <si>
    <t>ROULLEAUX Noémie</t>
  </si>
  <si>
    <t>COUPAT Sabin</t>
  </si>
  <si>
    <t>CHRIST Sarah</t>
  </si>
  <si>
    <t>ROULLEAUX Julie</t>
  </si>
  <si>
    <t>BACHER Edith</t>
  </si>
  <si>
    <t>FERRAND Elise</t>
  </si>
  <si>
    <t>DELENNE Joanna</t>
  </si>
  <si>
    <t>HABERKORN Bruno</t>
  </si>
  <si>
    <t>ROUILLER thomas</t>
  </si>
  <si>
    <t>BONNET Vincent</t>
  </si>
  <si>
    <t>SOGNO Martin</t>
  </si>
  <si>
    <t>MADEC-GUILLOT Théo</t>
  </si>
  <si>
    <t>COLLETER Thomas</t>
  </si>
  <si>
    <t>DODIN Christophe</t>
  </si>
  <si>
    <t>VALENTIN Téo</t>
  </si>
  <si>
    <t>LE BROGNE Julien</t>
  </si>
  <si>
    <t>D'HARREVILLE Renaud</t>
  </si>
  <si>
    <t>PARZYCH Jean-Michel</t>
  </si>
  <si>
    <t>BEAUVIR Yannick</t>
  </si>
  <si>
    <t>GAUDUIN Maxime</t>
  </si>
  <si>
    <t>CHARON Simon</t>
  </si>
  <si>
    <t>DENEYER Quentin</t>
  </si>
  <si>
    <t>RIO Nicolas</t>
  </si>
  <si>
    <t>CAPBERN Loïc</t>
  </si>
  <si>
    <t>CRESPIN Nicolas</t>
  </si>
  <si>
    <t>TOLKO Tommy</t>
  </si>
  <si>
    <t>PARZYCH Jean Michel</t>
  </si>
  <si>
    <t>BODY Florentin</t>
  </si>
  <si>
    <t>BASSET Marian</t>
  </si>
  <si>
    <t>STEPHANY Antoine</t>
  </si>
  <si>
    <t>DESPLAT Martin</t>
  </si>
  <si>
    <t>VERCELLOTTI Léa</t>
  </si>
  <si>
    <t>BOUCHET Charlotte</t>
  </si>
  <si>
    <t>ALMVIST HAAS Hedwig</t>
  </si>
  <si>
    <t>ELIAS Pauline</t>
  </si>
  <si>
    <t>HUEBER Nicole</t>
  </si>
  <si>
    <t>JANSON Jeanette</t>
  </si>
  <si>
    <t>PERRIN Odile</t>
  </si>
  <si>
    <t>GIRARD Clarisse</t>
  </si>
  <si>
    <t>FOLTZER Cécile</t>
  </si>
  <si>
    <t>TOULIER ANCIAN Lucas</t>
  </si>
  <si>
    <t>MARTY Loic</t>
  </si>
  <si>
    <t>GUELENNOC Thibaud</t>
  </si>
  <si>
    <t>KROPF Benoit</t>
  </si>
  <si>
    <t>DERIAZ Samson</t>
  </si>
  <si>
    <t>BEAUDENON Cédric</t>
  </si>
  <si>
    <t>BARLET Cédric</t>
  </si>
  <si>
    <t>MICHAUD Thomas</t>
  </si>
  <si>
    <t>HABERKORN Guilhem</t>
  </si>
  <si>
    <t>DECLUSE Sébastien</t>
  </si>
  <si>
    <t>PINEAU Laurent</t>
  </si>
  <si>
    <t>REULET David</t>
  </si>
  <si>
    <t>VERDENAL Benoit</t>
  </si>
  <si>
    <t>DUCHON Alban</t>
  </si>
  <si>
    <t>POURRE Jérémi</t>
  </si>
  <si>
    <t>LEGRAND Mathis</t>
  </si>
  <si>
    <t>CONIEL Laura</t>
  </si>
  <si>
    <t>MARTIN Agathe</t>
  </si>
  <si>
    <t>VILAR Aurélie</t>
  </si>
  <si>
    <t>DOUSSET Mathilde</t>
  </si>
  <si>
    <t>GUINOT Marion</t>
  </si>
  <si>
    <t>CHEVRIER Thomas</t>
  </si>
  <si>
    <t>LEPERQUE Ophélie</t>
  </si>
  <si>
    <t>LOGE Lucie</t>
  </si>
  <si>
    <t>BEGUINOT Claire</t>
  </si>
  <si>
    <t>ADAMSKI Philippe</t>
  </si>
  <si>
    <t>CAPBERN Loic</t>
  </si>
  <si>
    <t>BLANC-TRANCHAND Olivier</t>
  </si>
  <si>
    <t>DOLLGAST Moritz</t>
  </si>
  <si>
    <t>PERRIN Mathieu</t>
  </si>
  <si>
    <t>ELIAS Guilhem</t>
  </si>
  <si>
    <t>BERNARD Christophe</t>
  </si>
  <si>
    <t>BOURRIN Jean Baptiste</t>
  </si>
  <si>
    <t>WOLZ Aymeric</t>
  </si>
  <si>
    <t>VIGIER Léo</t>
  </si>
  <si>
    <t>VAXELAIRE Hugo</t>
  </si>
  <si>
    <t>ANDRIEUX Quentin</t>
  </si>
  <si>
    <t>VUITTON Marie</t>
  </si>
  <si>
    <t>GUILLEMAIN Clément</t>
  </si>
  <si>
    <t>MOURLEAU Nicolas</t>
  </si>
  <si>
    <t>FOL Noel</t>
  </si>
  <si>
    <t>JONSSON NORDIN Lisa</t>
  </si>
  <si>
    <t>RAIMBAULT Juste</t>
  </si>
  <si>
    <t>VANNIER Fabrice</t>
  </si>
  <si>
    <t>SEMIK Ondrej</t>
  </si>
  <si>
    <t>JOLY Philippe</t>
  </si>
  <si>
    <t>COCHEY Benoit</t>
  </si>
  <si>
    <t>MATHIS Martin</t>
  </si>
  <si>
    <t>RADONDY Théo</t>
  </si>
  <si>
    <t>VUITTON Julien</t>
  </si>
  <si>
    <t>RUDKIEWICZ Lucie</t>
  </si>
  <si>
    <t>MOREL Eugénie</t>
  </si>
  <si>
    <t>VAYSSAT Romain</t>
  </si>
  <si>
    <t>DUCATILLON Clarisse</t>
  </si>
  <si>
    <t>HERITIER Véronique</t>
  </si>
  <si>
    <t>GONCALVES Joseph</t>
  </si>
  <si>
    <t>BUCAMP Noémie</t>
  </si>
  <si>
    <t>ODERMATT Ursula</t>
  </si>
  <si>
    <t>AUDREFROY Elsa</t>
  </si>
  <si>
    <t>ROUX Fleury</t>
  </si>
  <si>
    <t>SCHMIDT MORGENROTH</t>
  </si>
  <si>
    <t>DEVRIEUX Robin</t>
  </si>
  <si>
    <t>GASSNER Jasmina</t>
  </si>
  <si>
    <t>SERRALLONGUA Anna</t>
  </si>
  <si>
    <t>TOUSSAINT Tom</t>
  </si>
  <si>
    <t>MERLE Julien</t>
  </si>
  <si>
    <t>VIONNET Vincent</t>
  </si>
  <si>
    <t>BARLET Gaelle</t>
  </si>
  <si>
    <t>SCHIAVO Emilien</t>
  </si>
  <si>
    <t>KERN-GILLARD Mathieu</t>
  </si>
  <si>
    <t>TOKKO Tommi</t>
  </si>
  <si>
    <t>GAUDIN Maxime</t>
  </si>
  <si>
    <t>BLUM Jean Guy</t>
  </si>
  <si>
    <t>PARIGOT Olivier</t>
  </si>
  <si>
    <t>DANIEL Igor</t>
  </si>
  <si>
    <t>BLANC TRANCHAND Olivier</t>
  </si>
  <si>
    <t xml:space="preserve">ROUX Fleury </t>
  </si>
  <si>
    <t>DEMEUSE Clément</t>
  </si>
  <si>
    <t>PANNIER Axel</t>
  </si>
  <si>
    <t>VIEL Brieuc</t>
  </si>
  <si>
    <t>TALLANDIER Virgile</t>
  </si>
  <si>
    <t>GROELL Georg</t>
  </si>
  <si>
    <t>JACOUD Andy</t>
  </si>
  <si>
    <t>RIBIER Emmanuel</t>
  </si>
  <si>
    <t>PAGNOL Roman</t>
  </si>
  <si>
    <t>LASFAR Sami</t>
  </si>
  <si>
    <t>DELENNE Tommy</t>
  </si>
  <si>
    <t>BASSET Juliette</t>
  </si>
  <si>
    <t>LUTHRINGER Coline</t>
  </si>
  <si>
    <t>VILLEMIN Pauline</t>
  </si>
  <si>
    <t>RODRIGUEZ Lucas</t>
  </si>
  <si>
    <t>LALEVEE Sylvan</t>
  </si>
  <si>
    <t>MARCHAND Christophe</t>
  </si>
  <si>
    <t>CALANDRY Cécile</t>
  </si>
  <si>
    <t>CHAMPIGNY Hélène</t>
  </si>
  <si>
    <t>VASSY Margaux</t>
  </si>
  <si>
    <t>DOTT Léane</t>
  </si>
  <si>
    <t>FOL Joel</t>
  </si>
  <si>
    <t>TOUSSAINT Perrine</t>
  </si>
  <si>
    <t>PARIGOT Antoine</t>
  </si>
  <si>
    <t>LEMAIRE Cléo</t>
  </si>
  <si>
    <t>VEROVE Apolline</t>
  </si>
  <si>
    <t>LEMERCIER Céline</t>
  </si>
  <si>
    <t>BODY Diane</t>
  </si>
  <si>
    <t>PILATO Cyril</t>
  </si>
  <si>
    <t>ERBLAND Pierre</t>
  </si>
  <si>
    <t>N3 - 30'</t>
  </si>
  <si>
    <t>N3 - 40'</t>
  </si>
  <si>
    <t>N4 - 30'</t>
  </si>
  <si>
    <t>N4 - 40'</t>
  </si>
  <si>
    <t>Le temps de course individuel doit être basé sur les coureurs effectivement affectés par les clubs sur ces parcours.</t>
  </si>
  <si>
    <t>COSME Tom</t>
  </si>
  <si>
    <t>DELENNE Annabelle</t>
  </si>
  <si>
    <t>H18</t>
  </si>
  <si>
    <t>D18</t>
  </si>
  <si>
    <t>D21</t>
  </si>
  <si>
    <t>H21</t>
  </si>
  <si>
    <t>H50</t>
  </si>
  <si>
    <t>BASSET Basile</t>
  </si>
  <si>
    <t>H35</t>
  </si>
  <si>
    <t>LESQUER Antoine</t>
  </si>
  <si>
    <t>CHARBONNIER Liv</t>
  </si>
  <si>
    <t>DENOUAL Maxence</t>
  </si>
  <si>
    <t>PERRIN Gilles</t>
  </si>
  <si>
    <t>LE MOIGNE Jules</t>
  </si>
  <si>
    <t>H20</t>
  </si>
  <si>
    <t>SANDEVOIR Luc</t>
  </si>
  <si>
    <t>GAUDION Gaël</t>
  </si>
  <si>
    <t>H14</t>
  </si>
  <si>
    <t>MAIRE Chloé</t>
  </si>
  <si>
    <t>REGNARD Maé</t>
  </si>
  <si>
    <t>D20</t>
  </si>
  <si>
    <t>BERNE Benjamin</t>
  </si>
  <si>
    <t>BROCHOT Rémi</t>
  </si>
  <si>
    <t>H16</t>
  </si>
  <si>
    <t>SOUCAT Cyril</t>
  </si>
  <si>
    <t>MARCHAND Maxime</t>
  </si>
  <si>
    <t>RUIZ Ludovic</t>
  </si>
  <si>
    <t>H40</t>
  </si>
  <si>
    <t>CHAGNON Romain</t>
  </si>
  <si>
    <t>CHIFFLET Albin</t>
  </si>
  <si>
    <t>LEMERCIER Tom</t>
  </si>
  <si>
    <t>ODILE Jules</t>
  </si>
  <si>
    <t>HERNANDEZ Corentin</t>
  </si>
  <si>
    <t>FLAMENT Claude</t>
  </si>
  <si>
    <t>PRADEAU François</t>
  </si>
  <si>
    <t>THOMAS Johann</t>
  </si>
  <si>
    <t>H45</t>
  </si>
  <si>
    <t>N1 - 20' (Orange)</t>
  </si>
  <si>
    <t>N2 - 20' (Orange)</t>
  </si>
  <si>
    <t>N3 - 20' (Jaune)</t>
  </si>
  <si>
    <t>N4 - 20' (Jaune)</t>
  </si>
  <si>
    <t>DEVEAUX Gédéon</t>
  </si>
  <si>
    <t>WYMER Alyssia</t>
  </si>
  <si>
    <t>NILSSON Martin</t>
  </si>
  <si>
    <t>MARCHAND Nathan</t>
  </si>
  <si>
    <t>MARTY Loïc</t>
  </si>
  <si>
    <t>CHABANCE Yann</t>
  </si>
  <si>
    <t>GOUY Rudy</t>
  </si>
  <si>
    <t>CATHALA Louise</t>
  </si>
  <si>
    <t>LEMAGNER Thomas</t>
  </si>
  <si>
    <t>TROCHUT Nathaël</t>
  </si>
  <si>
    <t>D14</t>
  </si>
  <si>
    <t>KOTECKA Marie Anna</t>
  </si>
  <si>
    <t>ROUX CORBIC Arthur</t>
  </si>
  <si>
    <t>KRUGER Louis Antoine</t>
  </si>
  <si>
    <t>TALON Armand</t>
  </si>
  <si>
    <t>ROCHE Corentin</t>
  </si>
  <si>
    <t>MASLIAH Raphaël</t>
  </si>
  <si>
    <t>BOUCHAN Jérôme</t>
  </si>
  <si>
    <t>BROUWIER Mathis</t>
  </si>
  <si>
    <t>BARGE Titouan</t>
  </si>
  <si>
    <t>PRIGENT Yan</t>
  </si>
  <si>
    <t>VERRIER Jérémie</t>
  </si>
  <si>
    <t>CHAPSAL Martin</t>
  </si>
  <si>
    <t>MORER Yann</t>
  </si>
  <si>
    <t>PICARD Mael</t>
  </si>
  <si>
    <t>PHILIBERT Nathan</t>
  </si>
  <si>
    <t>BALLAS Valentin</t>
  </si>
  <si>
    <t>BERGUERRE Damien</t>
  </si>
  <si>
    <t>EQUIPE</t>
  </si>
  <si>
    <t>OTB</t>
  </si>
  <si>
    <t>NOSE</t>
  </si>
  <si>
    <t>B25</t>
  </si>
  <si>
    <t>TAD</t>
  </si>
  <si>
    <t>ADOC</t>
  </si>
  <si>
    <t>OJURA</t>
  </si>
  <si>
    <t>LOUP</t>
  </si>
  <si>
    <t>COCS</t>
  </si>
  <si>
    <t>Raidlinks</t>
  </si>
  <si>
    <t>ACA</t>
  </si>
  <si>
    <t>SMOG</t>
  </si>
  <si>
    <t>SOS GO</t>
  </si>
  <si>
    <t>AMSO</t>
  </si>
  <si>
    <t>GO78</t>
  </si>
  <si>
    <t>OE42</t>
  </si>
  <si>
    <t>CAEN</t>
  </si>
  <si>
    <t>ECHO</t>
  </si>
  <si>
    <t>B77</t>
  </si>
  <si>
    <t>ASUL</t>
  </si>
  <si>
    <t>O'ALP</t>
  </si>
  <si>
    <t>AMBER</t>
  </si>
  <si>
    <t>B63</t>
  </si>
  <si>
    <t>POP</t>
  </si>
  <si>
    <t>VALMO</t>
  </si>
  <si>
    <t>BROS</t>
  </si>
  <si>
    <t>Edition avec départ en masse pour les 30' en N1+N2</t>
  </si>
  <si>
    <t>ASO</t>
  </si>
  <si>
    <t>BLCO</t>
  </si>
  <si>
    <t>COBF</t>
  </si>
  <si>
    <t>Temps de l'équipe vainqueur (auparavant moyenne des 5 meilleures)</t>
  </si>
  <si>
    <t>OBugey</t>
  </si>
  <si>
    <t>Ambérieu</t>
  </si>
  <si>
    <t>PERRIN, Mathieu</t>
  </si>
  <si>
    <t>ANDRIEUX, Quentin</t>
  </si>
  <si>
    <t>CAPBERN, Loïc</t>
  </si>
  <si>
    <t>LEPOUTRE, Benjamin</t>
  </si>
  <si>
    <t>KERN-GILLARD, Mathieu</t>
  </si>
  <si>
    <t>CALANDRY, Simon</t>
  </si>
  <si>
    <t>KRUGER, Louis Antoine</t>
  </si>
  <si>
    <t>VEROVE, Vianney</t>
  </si>
  <si>
    <t>BASSET, Tess</t>
  </si>
  <si>
    <t>DERLOT, Antoine</t>
  </si>
  <si>
    <t>THENOZ, Bastien</t>
  </si>
  <si>
    <t>FRADET, Adrien</t>
  </si>
  <si>
    <t>BASSET, Marian</t>
  </si>
  <si>
    <t>PERRIN, Eric</t>
  </si>
  <si>
    <t>DUPUY, Violette</t>
  </si>
  <si>
    <t>ELLISSECHE, Toan</t>
  </si>
  <si>
    <t>MILHAU, Bazile</t>
  </si>
  <si>
    <t>LOONES, Sophie Marie Lucia</t>
  </si>
  <si>
    <t>CHABANCE, Maxime</t>
  </si>
  <si>
    <t>FLEURENT, Théo</t>
  </si>
  <si>
    <t>VARIN, Lucas</t>
  </si>
  <si>
    <t>GAUDION, Gaël</t>
  </si>
  <si>
    <t>RUDKIEWICZ, Martin</t>
  </si>
  <si>
    <t>SEIMBILLE, Denis</t>
  </si>
  <si>
    <t>BARRE, Clément</t>
  </si>
  <si>
    <t>PETIOT, Baptiste</t>
  </si>
  <si>
    <t>COCHEY, Célestin</t>
  </si>
  <si>
    <t>RINGOT, Paul</t>
  </si>
  <si>
    <t>GOUVERNEUR, Antoine</t>
  </si>
  <si>
    <t>BERGUERRE, Damien</t>
  </si>
  <si>
    <t>MAGAT, Léandre</t>
  </si>
  <si>
    <t>GARNIER, Robin</t>
  </si>
  <si>
    <t>SELLIER, Mathis</t>
  </si>
  <si>
    <t>FRANCOIS, Maël</t>
  </si>
  <si>
    <t>PAOLETTI, Anael</t>
  </si>
  <si>
    <t>BERHAULT-MERCI, Mathéo</t>
  </si>
  <si>
    <t>CALANDRY, Cécile</t>
  </si>
  <si>
    <t>HANAUER, Florence</t>
  </si>
  <si>
    <t>Prénom NOM</t>
  </si>
  <si>
    <t>…</t>
  </si>
  <si>
    <t>caté</t>
  </si>
  <si>
    <t>Moy.</t>
  </si>
  <si>
    <t>Dame</t>
  </si>
  <si>
    <t>Temps de l'équipe vainqueur (jusqu'à 2023 moyenne des 5 meilleures)</t>
  </si>
  <si>
    <t>O'Alp</t>
  </si>
  <si>
    <t>OBugey 1</t>
  </si>
  <si>
    <t>Ojura</t>
  </si>
  <si>
    <t>USCCO</t>
  </si>
  <si>
    <t>Poitiers</t>
  </si>
  <si>
    <t>BA</t>
  </si>
  <si>
    <t>Antoine DERLOT</t>
  </si>
  <si>
    <t>Alexandre VERGNAUD</t>
  </si>
  <si>
    <t>Thomas RADONDY</t>
  </si>
  <si>
    <t>Philippe ADAMSKI</t>
  </si>
  <si>
    <t>Benjamin LEPOUTRE</t>
  </si>
  <si>
    <t>Marian BASSET</t>
  </si>
  <si>
    <t>Céline DODIN</t>
  </si>
  <si>
    <t>Toan ELLISSECHE</t>
  </si>
  <si>
    <t>Apolline COCHEY</t>
  </si>
  <si>
    <t>D45</t>
  </si>
  <si>
    <t>D16</t>
  </si>
  <si>
    <t>Maëlle BEAUVIR</t>
  </si>
  <si>
    <t>Alina PALCAU</t>
  </si>
  <si>
    <t>Paul COCCHIO-JOURNET</t>
  </si>
  <si>
    <t>Noé PECOURT</t>
  </si>
  <si>
    <t>Antoine LESQUER</t>
  </si>
  <si>
    <t>Maxime CHABANCE</t>
  </si>
  <si>
    <t>Johann LE BARBER</t>
  </si>
  <si>
    <t>Mathieu HERAULT</t>
  </si>
  <si>
    <t>Antoine LEVASSEUR</t>
  </si>
  <si>
    <t>Valentine DELOFFRE</t>
  </si>
  <si>
    <t>Hugo ZYLA</t>
  </si>
  <si>
    <t>Mickaël BLANCHARD</t>
  </si>
  <si>
    <t>Théo DEGAND</t>
  </si>
  <si>
    <t>Clément COULON</t>
  </si>
  <si>
    <t>Fabien OZOUF</t>
  </si>
  <si>
    <t>Alice MERAT</t>
  </si>
  <si>
    <t>David CHATELON</t>
  </si>
  <si>
    <t>Etienne PRADEAU</t>
  </si>
  <si>
    <t>Colin MEYNIER</t>
  </si>
  <si>
    <t>Victor FOUCHIER</t>
  </si>
  <si>
    <t>Daniel SCHMIDT</t>
  </si>
  <si>
    <t>Evan AUZELOUX</t>
  </si>
  <si>
    <t>Esteban ETCHEN</t>
  </si>
  <si>
    <t>Romain CHAGNON</t>
  </si>
  <si>
    <t>Hugo TROVALET</t>
  </si>
  <si>
    <t>Hugo BOUCHART</t>
  </si>
  <si>
    <t>Evan LEMAGNER</t>
  </si>
  <si>
    <t>Tiago GASTINEAU</t>
  </si>
  <si>
    <t>Mathys PETITJEAN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</si>
</sst>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0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45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45" fontId="0" fillId="0" borderId="0" xfId="0" applyNumberFormat="1" applyAlignment="1">
      <alignment horizontal="left"/>
    </xf>
    <xf numFmtId="45" fontId="3" fillId="0" borderId="0" xfId="0" applyNumberFormat="1" applyFont="1" applyAlignment="1">
      <alignment horizontal="center"/>
    </xf>
    <xf numFmtId="0" fontId="1" fillId="0" borderId="1" xfId="0" applyFont="1" applyBorder="1"/>
    <xf numFmtId="0" fontId="0" fillId="0" borderId="2" xfId="0" applyBorder="1" applyAlignment="1">
      <alignment horizontal="center"/>
    </xf>
    <xf numFmtId="0" fontId="0" fillId="0" borderId="1" xfId="0" applyBorder="1"/>
    <xf numFmtId="45" fontId="0" fillId="2" borderId="4" xfId="0" applyNumberFormat="1" applyFill="1" applyBorder="1" applyAlignment="1">
      <alignment horizontal="center"/>
    </xf>
    <xf numFmtId="45" fontId="3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45" fontId="0" fillId="2" borderId="3" xfId="0" applyNumberFormat="1" applyFill="1" applyBorder="1" applyAlignment="1">
      <alignment horizontal="center"/>
    </xf>
    <xf numFmtId="10" fontId="0" fillId="2" borderId="0" xfId="0" applyNumberFormat="1" applyFill="1" applyAlignment="1">
      <alignment horizontal="center"/>
    </xf>
    <xf numFmtId="0" fontId="5" fillId="3" borderId="0" xfId="0" applyFont="1" applyFill="1" applyAlignment="1">
      <alignment horizontal="left"/>
    </xf>
    <xf numFmtId="0" fontId="7" fillId="0" borderId="0" xfId="0" applyFont="1"/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8" fillId="0" borderId="0" xfId="0" applyFont="1"/>
    <xf numFmtId="0" fontId="8" fillId="2" borderId="0" xfId="0" applyFont="1" applyFill="1" applyAlignment="1">
      <alignment horizontal="left"/>
    </xf>
    <xf numFmtId="10" fontId="4" fillId="2" borderId="0" xfId="0" applyNumberFormat="1" applyFont="1" applyFill="1" applyAlignment="1">
      <alignment horizontal="center"/>
    </xf>
    <xf numFmtId="45" fontId="9" fillId="0" borderId="0" xfId="0" applyNumberFormat="1" applyFont="1" applyAlignment="1">
      <alignment horizontal="left"/>
    </xf>
    <xf numFmtId="0" fontId="10" fillId="0" borderId="0" xfId="0" applyFont="1"/>
    <xf numFmtId="45" fontId="0" fillId="0" borderId="0" xfId="0" applyNumberFormat="1"/>
    <xf numFmtId="2" fontId="1" fillId="0" borderId="0" xfId="0" applyNumberFormat="1" applyFont="1"/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2" fontId="1" fillId="4" borderId="0" xfId="0" applyNumberFormat="1" applyFont="1" applyFill="1"/>
    <xf numFmtId="45" fontId="10" fillId="0" borderId="0" xfId="0" applyNumberFormat="1" applyFont="1" applyAlignment="1">
      <alignment horizontal="center"/>
    </xf>
    <xf numFmtId="164" fontId="10" fillId="0" borderId="3" xfId="0" applyNumberFormat="1" applyFont="1" applyBorder="1" applyAlignment="1">
      <alignment horizontal="center"/>
    </xf>
    <xf numFmtId="45" fontId="12" fillId="0" borderId="0" xfId="0" applyNumberFormat="1" applyFont="1"/>
    <xf numFmtId="46" fontId="0" fillId="0" borderId="0" xfId="0" applyNumberFormat="1" applyAlignment="1">
      <alignment vertical="center" wrapText="1"/>
    </xf>
    <xf numFmtId="20" fontId="0" fillId="0" borderId="0" xfId="0" applyNumberFormat="1" applyAlignment="1">
      <alignment vertical="center" wrapText="1"/>
    </xf>
    <xf numFmtId="0" fontId="13" fillId="5" borderId="0" xfId="0" applyFont="1" applyFill="1" applyAlignment="1">
      <alignment vertical="center" wrapText="1"/>
    </xf>
    <xf numFmtId="0" fontId="13" fillId="5" borderId="0" xfId="0" applyFont="1" applyFill="1"/>
    <xf numFmtId="45" fontId="13" fillId="5" borderId="0" xfId="0" applyNumberFormat="1" applyFont="1" applyFill="1" applyAlignment="1">
      <alignment horizontal="center"/>
    </xf>
    <xf numFmtId="10" fontId="13" fillId="5" borderId="0" xfId="0" applyNumberFormat="1" applyFont="1" applyFill="1" applyAlignment="1">
      <alignment horizontal="center"/>
    </xf>
    <xf numFmtId="45" fontId="13" fillId="5" borderId="0" xfId="0" applyNumberFormat="1" applyFont="1" applyFill="1"/>
    <xf numFmtId="2" fontId="14" fillId="5" borderId="0" xfId="0" applyNumberFormat="1" applyFont="1" applyFill="1"/>
    <xf numFmtId="0" fontId="0" fillId="0" borderId="0" xfId="0" applyAlignment="1">
      <alignment vertical="center" wrapText="1"/>
    </xf>
  </cellXfs>
  <cellStyles count="1">
    <cellStyle name="Normal" xfId="0" builtinId="0"/>
  </cellStyles>
  <dxfs count="306"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Medium9"/>
  <colors>
    <mruColors>
      <color rgb="FF33CC33"/>
      <color rgb="FF66FF66"/>
      <color rgb="FF008000"/>
      <color rgb="FF6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3</xdr:col>
      <xdr:colOff>60960</xdr:colOff>
      <xdr:row>19</xdr:row>
      <xdr:rowOff>97156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D67C214-42C2-4CD2-9BCB-397C08802C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2438400" cy="3571875"/>
        </a:xfrm>
        <a:prstGeom prst="rect">
          <a:avLst/>
        </a:prstGeom>
      </xdr:spPr>
    </xdr:pic>
    <xdr:clientData/>
  </xdr:twoCellAnchor>
  <xdr:twoCellAnchor editAs="oneCell">
    <xdr:from>
      <xdr:col>3</xdr:col>
      <xdr:colOff>411480</xdr:colOff>
      <xdr:row>0</xdr:row>
      <xdr:rowOff>0</xdr:rowOff>
    </xdr:from>
    <xdr:to>
      <xdr:col>8</xdr:col>
      <xdr:colOff>440055</xdr:colOff>
      <xdr:row>22</xdr:row>
      <xdr:rowOff>167640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9B3E10D-4BB7-4AEC-8A72-442411645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8920" y="0"/>
          <a:ext cx="3990975" cy="4191000"/>
        </a:xfrm>
        <a:prstGeom prst="rect">
          <a:avLst/>
        </a:prstGeom>
      </xdr:spPr>
    </xdr:pic>
    <xdr:clientData/>
  </xdr:twoCellAnchor>
  <xdr:twoCellAnchor editAs="oneCell">
    <xdr:from>
      <xdr:col>8</xdr:col>
      <xdr:colOff>769620</xdr:colOff>
      <xdr:row>0</xdr:row>
      <xdr:rowOff>0</xdr:rowOff>
    </xdr:from>
    <xdr:to>
      <xdr:col>14</xdr:col>
      <xdr:colOff>5715</xdr:colOff>
      <xdr:row>30</xdr:row>
      <xdr:rowOff>76200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C96FAC7-38E9-4107-806C-B8E71AD943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09460" y="0"/>
          <a:ext cx="3990975" cy="5562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75F6E-CE4E-4FE6-91AD-005D0E2AA4F0}">
  <dimension ref="B1:Y32"/>
  <sheetViews>
    <sheetView workbookViewId="0">
      <selection activeCell="Y24" sqref="Y24"/>
    </sheetView>
  </sheetViews>
  <sheetFormatPr baseColWidth="10" defaultRowHeight="14.4" x14ac:dyDescent="0.3"/>
  <cols>
    <col min="1" max="1" width="1.6640625" customWidth="1"/>
    <col min="2" max="2" width="20.21875" customWidth="1"/>
    <col min="3" max="3" width="4.21875" bestFit="1" customWidth="1"/>
    <col min="4" max="4" width="6.6640625" customWidth="1"/>
    <col min="5" max="5" width="7.77734375" customWidth="1"/>
    <col min="6" max="6" width="6.109375" customWidth="1"/>
    <col min="7" max="7" width="6.109375" style="1" customWidth="1"/>
    <col min="8" max="8" width="5.5546875" customWidth="1"/>
    <col min="9" max="9" width="20.21875" customWidth="1"/>
    <col min="10" max="10" width="4.21875" bestFit="1" customWidth="1"/>
    <col min="11" max="11" width="6.6640625" customWidth="1"/>
    <col min="12" max="12" width="7.77734375" customWidth="1"/>
    <col min="13" max="13" width="6.109375" customWidth="1"/>
    <col min="14" max="14" width="6.109375" style="1" customWidth="1"/>
    <col min="15" max="15" width="5.5546875" customWidth="1"/>
    <col min="16" max="16" width="20.21875" customWidth="1"/>
    <col min="17" max="17" width="4.21875" bestFit="1" customWidth="1"/>
    <col min="18" max="18" width="6.6640625" customWidth="1"/>
    <col min="19" max="19" width="7.77734375" customWidth="1"/>
    <col min="20" max="20" width="6.109375" customWidth="1"/>
    <col min="21" max="21" width="6.109375" style="1" customWidth="1"/>
    <col min="22" max="22" width="6.6640625" customWidth="1"/>
    <col min="23" max="23" width="7.33203125" bestFit="1" customWidth="1"/>
    <col min="24" max="24" width="7.109375" style="27" bestFit="1" customWidth="1"/>
    <col min="25" max="25" width="7.77734375" style="27" bestFit="1" customWidth="1"/>
  </cols>
  <sheetData>
    <row r="1" spans="2:25" ht="9.6" customHeight="1" x14ac:dyDescent="0.3">
      <c r="D1" s="3"/>
      <c r="E1" s="3"/>
      <c r="K1" s="3"/>
      <c r="L1" s="3"/>
      <c r="R1" s="3"/>
      <c r="S1" s="3"/>
    </row>
    <row r="2" spans="2:25" x14ac:dyDescent="0.3">
      <c r="B2" s="24" t="s">
        <v>0</v>
      </c>
      <c r="D2" s="3"/>
      <c r="E2" s="3"/>
      <c r="K2" s="3"/>
      <c r="L2" s="3"/>
      <c r="R2" s="29" t="s">
        <v>384</v>
      </c>
      <c r="S2" s="3"/>
    </row>
    <row r="3" spans="2:25" x14ac:dyDescent="0.3">
      <c r="B3" s="24" t="s">
        <v>238</v>
      </c>
      <c r="D3" s="3"/>
      <c r="E3" s="3"/>
      <c r="K3" s="3"/>
      <c r="L3" s="3"/>
      <c r="R3" s="9"/>
      <c r="S3" s="9"/>
    </row>
    <row r="4" spans="2:25" x14ac:dyDescent="0.3">
      <c r="D4" s="3"/>
      <c r="E4" s="3"/>
      <c r="K4" s="3"/>
      <c r="L4" s="3"/>
      <c r="R4" s="9"/>
      <c r="S4" s="3"/>
    </row>
    <row r="5" spans="2:25" x14ac:dyDescent="0.3">
      <c r="B5" s="1" t="s">
        <v>276</v>
      </c>
      <c r="D5" s="31">
        <f>G5*0.85</f>
        <v>1.1805555555555555E-2</v>
      </c>
      <c r="E5">
        <f>0+0*0.01</f>
        <v>0</v>
      </c>
      <c r="F5" s="33" t="e">
        <f>D5/E5</f>
        <v>#DIV/0!</v>
      </c>
      <c r="G5" s="23">
        <v>1.3888888888888888E-2</v>
      </c>
      <c r="I5" s="1" t="s">
        <v>12</v>
      </c>
      <c r="K5" s="31">
        <f>N5*0.85</f>
        <v>1.7708333333333333E-2</v>
      </c>
      <c r="L5">
        <f>0+0*0.01</f>
        <v>0</v>
      </c>
      <c r="M5" s="33" t="e">
        <f>K5/L5</f>
        <v>#DIV/0!</v>
      </c>
      <c r="N5" s="23">
        <v>2.0833333333333332E-2</v>
      </c>
      <c r="P5" s="8" t="s">
        <v>13</v>
      </c>
      <c r="R5" s="31">
        <f>U5*0.85</f>
        <v>2.9513888888888888E-2</v>
      </c>
      <c r="S5">
        <f>0+0*0.01</f>
        <v>0</v>
      </c>
      <c r="T5" s="33" t="e">
        <f>R5/S5</f>
        <v>#DIV/0!</v>
      </c>
      <c r="U5" s="23">
        <v>3.4722222222222224E-2</v>
      </c>
      <c r="W5" s="1" t="s">
        <v>308</v>
      </c>
      <c r="Y5" s="32">
        <v>0.19444444444444445</v>
      </c>
    </row>
    <row r="6" spans="2:25" x14ac:dyDescent="0.3">
      <c r="B6" t="s">
        <v>379</v>
      </c>
      <c r="C6" t="s">
        <v>381</v>
      </c>
      <c r="D6" s="4">
        <v>0</v>
      </c>
      <c r="E6" s="5">
        <f>(D6-D$5)/D$5</f>
        <v>-1</v>
      </c>
      <c r="F6" s="25" t="e">
        <f>D6/E$5</f>
        <v>#DIV/0!</v>
      </c>
      <c r="G6" s="26" t="e">
        <f>F6/$T$6</f>
        <v>#DIV/0!</v>
      </c>
      <c r="I6" t="s">
        <v>380</v>
      </c>
      <c r="J6" t="s">
        <v>380</v>
      </c>
      <c r="K6" s="4">
        <v>0</v>
      </c>
      <c r="L6" s="5">
        <f>(K6-K$5)/K$5</f>
        <v>-1</v>
      </c>
      <c r="M6" s="25" t="e">
        <f>K6/L$5</f>
        <v>#DIV/0!</v>
      </c>
      <c r="N6" s="26" t="e">
        <f>M6/$T$6</f>
        <v>#DIV/0!</v>
      </c>
      <c r="P6" t="s">
        <v>380</v>
      </c>
      <c r="Q6" t="s">
        <v>380</v>
      </c>
      <c r="R6" s="4">
        <v>0</v>
      </c>
      <c r="S6" s="5">
        <f>(R6-R$5)/R$5</f>
        <v>-1</v>
      </c>
      <c r="T6" s="25" t="e">
        <f>R6/S$5</f>
        <v>#DIV/0!</v>
      </c>
      <c r="U6" s="30" t="e">
        <f>T6/$T$6</f>
        <v>#DIV/0!</v>
      </c>
      <c r="W6" t="s">
        <v>308</v>
      </c>
      <c r="X6" s="28">
        <v>0</v>
      </c>
      <c r="Y6" s="27">
        <f>ABS(X6-Y5)</f>
        <v>0.19444444444444445</v>
      </c>
    </row>
    <row r="7" spans="2:25" x14ac:dyDescent="0.3">
      <c r="B7" t="s">
        <v>380</v>
      </c>
      <c r="C7" t="s">
        <v>380</v>
      </c>
      <c r="D7" s="4">
        <v>0</v>
      </c>
      <c r="E7" s="5">
        <f t="shared" ref="E7:E8" si="0">(D7-D$5)/D$5</f>
        <v>-1</v>
      </c>
      <c r="F7" s="25" t="e">
        <f>D7/E$5</f>
        <v>#DIV/0!</v>
      </c>
      <c r="G7" s="26" t="e">
        <f>F7/$T$6</f>
        <v>#DIV/0!</v>
      </c>
      <c r="I7" t="s">
        <v>380</v>
      </c>
      <c r="J7" t="s">
        <v>380</v>
      </c>
      <c r="K7" s="4">
        <v>0</v>
      </c>
      <c r="L7" s="5">
        <f t="shared" ref="L7:L8" si="1">(K7-K$5)/K$5</f>
        <v>-1</v>
      </c>
      <c r="M7" s="25" t="e">
        <f>K7/L$5</f>
        <v>#DIV/0!</v>
      </c>
      <c r="N7" s="26" t="e">
        <f>M7/$T$6</f>
        <v>#DIV/0!</v>
      </c>
      <c r="P7" t="s">
        <v>380</v>
      </c>
      <c r="Q7" t="s">
        <v>380</v>
      </c>
      <c r="R7" s="4">
        <v>0</v>
      </c>
      <c r="S7" s="5">
        <f t="shared" ref="S7:S8" si="2">(R7-R$5)/R$5</f>
        <v>-1</v>
      </c>
      <c r="T7" s="25" t="e">
        <f>R7/S$5</f>
        <v>#DIV/0!</v>
      </c>
      <c r="U7" s="26" t="e">
        <f t="shared" ref="U7:U9" si="3">T7/$T$6</f>
        <v>#DIV/0!</v>
      </c>
      <c r="W7" t="s">
        <v>380</v>
      </c>
      <c r="X7" s="27">
        <v>0</v>
      </c>
      <c r="Y7" s="5">
        <f>(X6-Y5)/Y5</f>
        <v>-1</v>
      </c>
    </row>
    <row r="8" spans="2:25" x14ac:dyDescent="0.3">
      <c r="B8" t="s">
        <v>380</v>
      </c>
      <c r="C8" t="s">
        <v>380</v>
      </c>
      <c r="D8" s="4">
        <v>0</v>
      </c>
      <c r="E8" s="5">
        <f t="shared" si="0"/>
        <v>-1</v>
      </c>
      <c r="F8" s="25" t="e">
        <f>D8/E$5</f>
        <v>#DIV/0!</v>
      </c>
      <c r="G8" s="26" t="e">
        <f>F8/$T$6</f>
        <v>#DIV/0!</v>
      </c>
      <c r="I8" t="s">
        <v>380</v>
      </c>
      <c r="J8" t="s">
        <v>380</v>
      </c>
      <c r="K8" s="4">
        <v>0</v>
      </c>
      <c r="L8" s="5">
        <f t="shared" si="1"/>
        <v>-1</v>
      </c>
      <c r="M8" s="25" t="e">
        <f>K8/L$5</f>
        <v>#DIV/0!</v>
      </c>
      <c r="N8" s="26" t="e">
        <f>M8/$T$6</f>
        <v>#DIV/0!</v>
      </c>
      <c r="P8" t="s">
        <v>380</v>
      </c>
      <c r="Q8" t="s">
        <v>380</v>
      </c>
      <c r="R8" s="4">
        <v>0</v>
      </c>
      <c r="S8" s="5">
        <f t="shared" si="2"/>
        <v>-1</v>
      </c>
      <c r="T8" s="25" t="e">
        <f>R8/S$5</f>
        <v>#DIV/0!</v>
      </c>
      <c r="U8" s="26" t="e">
        <f t="shared" si="3"/>
        <v>#DIV/0!</v>
      </c>
      <c r="W8" t="s">
        <v>380</v>
      </c>
      <c r="X8" s="27">
        <v>0</v>
      </c>
      <c r="Y8" s="27" t="s">
        <v>382</v>
      </c>
    </row>
    <row r="9" spans="2:25" x14ac:dyDescent="0.3">
      <c r="D9" s="3"/>
      <c r="E9" s="5"/>
      <c r="K9" s="3"/>
      <c r="L9" s="5"/>
      <c r="P9" s="36" t="s">
        <v>383</v>
      </c>
      <c r="Q9" s="37" t="s">
        <v>380</v>
      </c>
      <c r="R9" s="38">
        <v>0</v>
      </c>
      <c r="S9" s="39"/>
      <c r="T9" s="40" t="e">
        <f>R9/S$5</f>
        <v>#DIV/0!</v>
      </c>
      <c r="U9" s="41" t="e">
        <f t="shared" si="3"/>
        <v>#DIV/0!</v>
      </c>
      <c r="W9" t="s">
        <v>380</v>
      </c>
      <c r="X9" s="27">
        <v>0</v>
      </c>
      <c r="Y9" s="27">
        <f>AVERAGE(X6:X10)</f>
        <v>0</v>
      </c>
    </row>
    <row r="10" spans="2:25" x14ac:dyDescent="0.3">
      <c r="D10" s="3"/>
      <c r="E10" s="3"/>
      <c r="K10" s="3"/>
      <c r="L10" s="3"/>
      <c r="R10" s="3"/>
      <c r="S10" s="3"/>
      <c r="W10" t="s">
        <v>380</v>
      </c>
      <c r="X10" s="27">
        <v>0</v>
      </c>
    </row>
    <row r="11" spans="2:25" x14ac:dyDescent="0.3">
      <c r="B11" s="1" t="s">
        <v>277</v>
      </c>
      <c r="D11" s="31">
        <f>G11*0.85</f>
        <v>1.1805555555555555E-2</v>
      </c>
      <c r="E11">
        <f>0+0*0.01</f>
        <v>0</v>
      </c>
      <c r="F11" s="33" t="e">
        <f>D11/E11</f>
        <v>#DIV/0!</v>
      </c>
      <c r="G11" s="23">
        <v>1.3888888888888888E-2</v>
      </c>
      <c r="I11" s="1" t="s">
        <v>35</v>
      </c>
      <c r="K11" s="31">
        <f>N11*0.85</f>
        <v>1.7708333333333333E-2</v>
      </c>
      <c r="L11">
        <f>0+0*0.01</f>
        <v>0</v>
      </c>
      <c r="M11" s="33" t="e">
        <f>K11/L11</f>
        <v>#DIV/0!</v>
      </c>
      <c r="N11" s="23">
        <v>2.0833333333333332E-2</v>
      </c>
      <c r="P11" s="1" t="s">
        <v>36</v>
      </c>
      <c r="R11" s="31">
        <f>U11*0.85</f>
        <v>2.361111111111111E-2</v>
      </c>
      <c r="S11">
        <f>0+0*0.01</f>
        <v>0</v>
      </c>
      <c r="T11" s="33" t="e">
        <f>R11/S11</f>
        <v>#DIV/0!</v>
      </c>
      <c r="U11" s="23">
        <v>2.7777777777777776E-2</v>
      </c>
      <c r="W11" s="1" t="s">
        <v>308</v>
      </c>
      <c r="Y11" s="32">
        <v>0.17361111111111113</v>
      </c>
    </row>
    <row r="12" spans="2:25" x14ac:dyDescent="0.3">
      <c r="B12" t="s">
        <v>380</v>
      </c>
      <c r="C12" t="s">
        <v>380</v>
      </c>
      <c r="D12" s="4">
        <v>0</v>
      </c>
      <c r="E12" s="5">
        <f>(D12-D$5)/D$5</f>
        <v>-1</v>
      </c>
      <c r="F12" s="25" t="e">
        <f>D12/E$11</f>
        <v>#DIV/0!</v>
      </c>
      <c r="G12" s="26" t="e">
        <f>F12/$T$6</f>
        <v>#DIV/0!</v>
      </c>
      <c r="I12" t="s">
        <v>380</v>
      </c>
      <c r="J12" t="s">
        <v>380</v>
      </c>
      <c r="K12" s="4">
        <v>0</v>
      </c>
      <c r="L12" s="5">
        <f>(K12-K$5)/K$5</f>
        <v>-1</v>
      </c>
      <c r="M12" s="25" t="e">
        <f>K12/L$11</f>
        <v>#DIV/0!</v>
      </c>
      <c r="N12" s="26" t="e">
        <f>M12/$T$6</f>
        <v>#DIV/0!</v>
      </c>
      <c r="P12" t="s">
        <v>380</v>
      </c>
      <c r="Q12" t="s">
        <v>380</v>
      </c>
      <c r="R12" s="4">
        <v>0</v>
      </c>
      <c r="S12" s="5">
        <f>(R12-R$11)/R$11</f>
        <v>-1</v>
      </c>
      <c r="T12" s="25" t="e">
        <f>R12/S$11</f>
        <v>#DIV/0!</v>
      </c>
      <c r="U12" s="26" t="e">
        <f>T12/$T$6</f>
        <v>#DIV/0!</v>
      </c>
      <c r="W12" t="s">
        <v>308</v>
      </c>
      <c r="X12" s="28">
        <v>0</v>
      </c>
      <c r="Y12" s="27">
        <f>ABS(X12-Y11)</f>
        <v>0.17361111111111113</v>
      </c>
    </row>
    <row r="13" spans="2:25" x14ac:dyDescent="0.3">
      <c r="B13" t="s">
        <v>380</v>
      </c>
      <c r="C13" t="s">
        <v>380</v>
      </c>
      <c r="D13" s="4">
        <v>0</v>
      </c>
      <c r="E13" s="5">
        <f t="shared" ref="E13:E14" si="4">(D13-D$5)/D$5</f>
        <v>-1</v>
      </c>
      <c r="F13" s="25" t="e">
        <f>D13/E$11</f>
        <v>#DIV/0!</v>
      </c>
      <c r="G13" s="26" t="e">
        <f>F13/$T$6</f>
        <v>#DIV/0!</v>
      </c>
      <c r="I13" t="s">
        <v>380</v>
      </c>
      <c r="J13" t="s">
        <v>380</v>
      </c>
      <c r="K13" s="4">
        <v>0</v>
      </c>
      <c r="L13" s="5">
        <f t="shared" ref="L13:L14" si="5">(K13-K$5)/K$5</f>
        <v>-1</v>
      </c>
      <c r="M13" s="25" t="e">
        <f>K13/L$11</f>
        <v>#DIV/0!</v>
      </c>
      <c r="N13" s="26" t="e">
        <f>M13/$T$6</f>
        <v>#DIV/0!</v>
      </c>
      <c r="P13" t="s">
        <v>380</v>
      </c>
      <c r="Q13" t="s">
        <v>380</v>
      </c>
      <c r="R13" s="4">
        <v>0</v>
      </c>
      <c r="S13" s="5">
        <f t="shared" ref="S13:S14" si="6">(R13-R$11)/R$11</f>
        <v>-1</v>
      </c>
      <c r="T13" s="25" t="e">
        <f>R13/S$11</f>
        <v>#DIV/0!</v>
      </c>
      <c r="U13" s="26" t="e">
        <f t="shared" ref="U13:U15" si="7">T13/$T$6</f>
        <v>#DIV/0!</v>
      </c>
      <c r="W13" t="s">
        <v>380</v>
      </c>
      <c r="X13" s="27">
        <v>0</v>
      </c>
      <c r="Y13" s="5">
        <f>(X12-Y11)/Y11</f>
        <v>-1</v>
      </c>
    </row>
    <row r="14" spans="2:25" x14ac:dyDescent="0.3">
      <c r="B14" t="s">
        <v>380</v>
      </c>
      <c r="C14" t="s">
        <v>380</v>
      </c>
      <c r="D14" s="4">
        <v>0</v>
      </c>
      <c r="E14" s="5">
        <f t="shared" si="4"/>
        <v>-1</v>
      </c>
      <c r="F14" s="25" t="e">
        <f>D14/E$11</f>
        <v>#DIV/0!</v>
      </c>
      <c r="G14" s="26" t="e">
        <f>F14/$T$6</f>
        <v>#DIV/0!</v>
      </c>
      <c r="I14" t="s">
        <v>380</v>
      </c>
      <c r="J14" t="s">
        <v>380</v>
      </c>
      <c r="K14" s="4">
        <v>0</v>
      </c>
      <c r="L14" s="5">
        <f t="shared" si="5"/>
        <v>-1</v>
      </c>
      <c r="M14" s="25" t="e">
        <f>K14/L$11</f>
        <v>#DIV/0!</v>
      </c>
      <c r="N14" s="26" t="e">
        <f>M14/$T$6</f>
        <v>#DIV/0!</v>
      </c>
      <c r="P14" t="s">
        <v>380</v>
      </c>
      <c r="Q14" t="s">
        <v>380</v>
      </c>
      <c r="R14" s="4">
        <v>0</v>
      </c>
      <c r="S14" s="5">
        <f t="shared" si="6"/>
        <v>-1</v>
      </c>
      <c r="T14" s="25" t="e">
        <f>R14/S$11</f>
        <v>#DIV/0!</v>
      </c>
      <c r="U14" s="26" t="e">
        <f t="shared" si="7"/>
        <v>#DIV/0!</v>
      </c>
      <c r="W14" t="s">
        <v>380</v>
      </c>
      <c r="X14" s="27">
        <v>0</v>
      </c>
      <c r="Y14" s="27" t="s">
        <v>382</v>
      </c>
    </row>
    <row r="15" spans="2:25" x14ac:dyDescent="0.3">
      <c r="D15" s="3"/>
      <c r="E15" s="5"/>
      <c r="K15" s="3"/>
      <c r="L15" s="5"/>
      <c r="P15" s="36" t="s">
        <v>380</v>
      </c>
      <c r="Q15" s="37" t="s">
        <v>380</v>
      </c>
      <c r="R15" s="38">
        <v>0</v>
      </c>
      <c r="S15" s="39"/>
      <c r="T15" s="40" t="e">
        <f>R15/S$11</f>
        <v>#DIV/0!</v>
      </c>
      <c r="U15" s="41" t="e">
        <f t="shared" si="7"/>
        <v>#DIV/0!</v>
      </c>
      <c r="W15" t="s">
        <v>380</v>
      </c>
      <c r="X15" s="27">
        <v>0</v>
      </c>
      <c r="Y15" s="27">
        <f>AVERAGE(X12:X16)</f>
        <v>0</v>
      </c>
    </row>
    <row r="16" spans="2:25" x14ac:dyDescent="0.3">
      <c r="D16" s="3"/>
      <c r="E16" s="5"/>
      <c r="K16" s="3"/>
      <c r="L16" s="5"/>
      <c r="R16" s="3"/>
      <c r="S16" s="5"/>
      <c r="W16" t="s">
        <v>380</v>
      </c>
      <c r="X16" s="27">
        <v>0</v>
      </c>
    </row>
    <row r="17" spans="2:25" x14ac:dyDescent="0.3">
      <c r="B17" s="1" t="s">
        <v>278</v>
      </c>
      <c r="D17" s="31">
        <f>G17*0.85</f>
        <v>1.1805555555555555E-2</v>
      </c>
      <c r="E17">
        <f>0+0*0.01</f>
        <v>0</v>
      </c>
      <c r="F17" s="33" t="e">
        <f>D17/E17</f>
        <v>#DIV/0!</v>
      </c>
      <c r="G17" s="23">
        <v>1.3888888888888888E-2</v>
      </c>
      <c r="I17" s="1" t="s">
        <v>234</v>
      </c>
      <c r="K17" s="31">
        <f>N17*0.85</f>
        <v>1.7708333333333333E-2</v>
      </c>
      <c r="L17">
        <f>0+0*0.01</f>
        <v>0</v>
      </c>
      <c r="M17" s="33" t="e">
        <f>K17/L17</f>
        <v>#DIV/0!</v>
      </c>
      <c r="N17" s="23">
        <v>2.0833333333333332E-2</v>
      </c>
      <c r="P17" s="8" t="s">
        <v>235</v>
      </c>
      <c r="R17" s="31">
        <f>U17*0.85</f>
        <v>2.361111111111111E-2</v>
      </c>
      <c r="S17">
        <f>0+0*0.01</f>
        <v>0</v>
      </c>
      <c r="T17" s="33" t="e">
        <f>R17/S17</f>
        <v>#DIV/0!</v>
      </c>
      <c r="U17" s="23">
        <v>2.7777777777777776E-2</v>
      </c>
      <c r="W17" s="1" t="s">
        <v>308</v>
      </c>
      <c r="Y17" s="32">
        <v>0.13194444444444445</v>
      </c>
    </row>
    <row r="18" spans="2:25" x14ac:dyDescent="0.3">
      <c r="B18" t="s">
        <v>380</v>
      </c>
      <c r="C18" t="s">
        <v>380</v>
      </c>
      <c r="D18" s="4">
        <v>0</v>
      </c>
      <c r="E18" s="5">
        <f>(D18-D$5)/D$5</f>
        <v>-1</v>
      </c>
      <c r="F18" s="25" t="e">
        <f>D18/E$17</f>
        <v>#DIV/0!</v>
      </c>
      <c r="G18" s="26" t="e">
        <f>F18/$T$6</f>
        <v>#DIV/0!</v>
      </c>
      <c r="I18" t="s">
        <v>380</v>
      </c>
      <c r="J18" t="s">
        <v>380</v>
      </c>
      <c r="K18" s="4">
        <v>0</v>
      </c>
      <c r="L18" s="5">
        <f>(K18-K$5)/K$5</f>
        <v>-1</v>
      </c>
      <c r="M18" s="25" t="e">
        <f>K18/L$17</f>
        <v>#DIV/0!</v>
      </c>
      <c r="N18" s="26" t="e">
        <f>M18/$T$6</f>
        <v>#DIV/0!</v>
      </c>
      <c r="P18" t="s">
        <v>380</v>
      </c>
      <c r="Q18" t="s">
        <v>380</v>
      </c>
      <c r="R18" s="4">
        <v>0</v>
      </c>
      <c r="S18" s="5">
        <f>(R18-R$11)/R$11</f>
        <v>-1</v>
      </c>
      <c r="T18" s="25" t="e">
        <f>R18/S$17</f>
        <v>#DIV/0!</v>
      </c>
      <c r="U18" s="26" t="e">
        <f>T18/$T$6</f>
        <v>#DIV/0!</v>
      </c>
      <c r="W18" t="s">
        <v>308</v>
      </c>
      <c r="X18" s="28">
        <v>0</v>
      </c>
      <c r="Y18" s="27">
        <f>ABS(X18-Y17)</f>
        <v>0.13194444444444445</v>
      </c>
    </row>
    <row r="19" spans="2:25" x14ac:dyDescent="0.3">
      <c r="B19" t="s">
        <v>380</v>
      </c>
      <c r="C19" t="s">
        <v>380</v>
      </c>
      <c r="D19" s="4">
        <v>0</v>
      </c>
      <c r="E19" s="5">
        <f t="shared" ref="E19:E20" si="8">(D19-D$5)/D$5</f>
        <v>-1</v>
      </c>
      <c r="F19" s="25" t="e">
        <f>D19/E$17</f>
        <v>#DIV/0!</v>
      </c>
      <c r="G19" s="26" t="e">
        <f>F19/$T$6</f>
        <v>#DIV/0!</v>
      </c>
      <c r="I19" t="s">
        <v>380</v>
      </c>
      <c r="J19" t="s">
        <v>380</v>
      </c>
      <c r="K19" s="4">
        <v>0</v>
      </c>
      <c r="L19" s="5">
        <f t="shared" ref="L19:L20" si="9">(K19-K$5)/K$5</f>
        <v>-1</v>
      </c>
      <c r="M19" s="25" t="e">
        <f>K19/L$17</f>
        <v>#DIV/0!</v>
      </c>
      <c r="N19" s="26" t="e">
        <f>M19/$T$6</f>
        <v>#DIV/0!</v>
      </c>
      <c r="P19" t="s">
        <v>380</v>
      </c>
      <c r="Q19" t="s">
        <v>380</v>
      </c>
      <c r="R19" s="4">
        <v>0</v>
      </c>
      <c r="S19" s="5">
        <f t="shared" ref="S19:S20" si="10">(R19-R$11)/R$11</f>
        <v>-1</v>
      </c>
      <c r="T19" s="25" t="e">
        <f>R19/S$17</f>
        <v>#DIV/0!</v>
      </c>
      <c r="U19" s="26" t="e">
        <f t="shared" ref="U19:U20" si="11">T19/$T$6</f>
        <v>#DIV/0!</v>
      </c>
      <c r="W19" t="s">
        <v>380</v>
      </c>
      <c r="X19" s="27">
        <v>0</v>
      </c>
      <c r="Y19" s="5">
        <f>(X18-Y17)/Y17</f>
        <v>-1</v>
      </c>
    </row>
    <row r="20" spans="2:25" x14ac:dyDescent="0.3">
      <c r="B20" t="s">
        <v>380</v>
      </c>
      <c r="C20" t="s">
        <v>380</v>
      </c>
      <c r="D20" s="4">
        <v>0</v>
      </c>
      <c r="E20" s="5">
        <f t="shared" si="8"/>
        <v>-1</v>
      </c>
      <c r="F20" s="25" t="e">
        <f>D20/E$17</f>
        <v>#DIV/0!</v>
      </c>
      <c r="G20" s="26" t="e">
        <f>F20/$T$6</f>
        <v>#DIV/0!</v>
      </c>
      <c r="I20" t="s">
        <v>380</v>
      </c>
      <c r="J20" t="s">
        <v>380</v>
      </c>
      <c r="K20" s="4">
        <v>0</v>
      </c>
      <c r="L20" s="5">
        <f t="shared" si="9"/>
        <v>-1</v>
      </c>
      <c r="M20" s="25" t="e">
        <f>K20/L$17</f>
        <v>#DIV/0!</v>
      </c>
      <c r="N20" s="26" t="e">
        <f>M20/$T$6</f>
        <v>#DIV/0!</v>
      </c>
      <c r="P20" t="s">
        <v>380</v>
      </c>
      <c r="Q20" t="s">
        <v>380</v>
      </c>
      <c r="R20" s="4">
        <v>0</v>
      </c>
      <c r="S20" s="5">
        <f t="shared" si="10"/>
        <v>-1</v>
      </c>
      <c r="T20" s="25" t="e">
        <f>R20/S$17</f>
        <v>#DIV/0!</v>
      </c>
      <c r="U20" s="26" t="e">
        <f t="shared" si="11"/>
        <v>#DIV/0!</v>
      </c>
      <c r="W20" t="s">
        <v>380</v>
      </c>
      <c r="X20" s="27">
        <v>0</v>
      </c>
      <c r="Y20" s="27" t="s">
        <v>382</v>
      </c>
    </row>
    <row r="21" spans="2:25" x14ac:dyDescent="0.3">
      <c r="D21" s="3"/>
      <c r="E21" s="5"/>
      <c r="K21" s="3"/>
      <c r="L21" s="5"/>
      <c r="R21" s="3"/>
      <c r="S21" s="5"/>
      <c r="W21" t="s">
        <v>380</v>
      </c>
      <c r="X21" s="27">
        <v>0</v>
      </c>
      <c r="Y21" s="27">
        <f>AVERAGE(X18:X22)</f>
        <v>0</v>
      </c>
    </row>
    <row r="22" spans="2:25" x14ac:dyDescent="0.3">
      <c r="D22" s="3"/>
      <c r="E22" s="3"/>
      <c r="K22" s="3"/>
      <c r="L22" s="3"/>
      <c r="R22" s="3"/>
      <c r="S22" s="3"/>
      <c r="W22" t="s">
        <v>380</v>
      </c>
      <c r="X22" s="27">
        <v>0</v>
      </c>
    </row>
    <row r="23" spans="2:25" x14ac:dyDescent="0.3">
      <c r="B23" s="1" t="s">
        <v>279</v>
      </c>
      <c r="D23" s="31">
        <f>G23*0.85</f>
        <v>1.1805555555555555E-2</v>
      </c>
      <c r="E23">
        <f>0+0*0.01</f>
        <v>0</v>
      </c>
      <c r="F23" s="33" t="e">
        <f>D23/E23</f>
        <v>#DIV/0!</v>
      </c>
      <c r="G23" s="23">
        <v>1.3888888888888888E-2</v>
      </c>
      <c r="I23" s="1" t="s">
        <v>236</v>
      </c>
      <c r="K23" s="31">
        <f>N23*0.85</f>
        <v>1.7708333333333333E-2</v>
      </c>
      <c r="L23">
        <f>0+0*0.01</f>
        <v>0</v>
      </c>
      <c r="M23" s="33" t="e">
        <f>K23/L23</f>
        <v>#DIV/0!</v>
      </c>
      <c r="N23" s="23">
        <v>2.0833333333333332E-2</v>
      </c>
      <c r="P23" s="1" t="s">
        <v>237</v>
      </c>
      <c r="R23" s="31">
        <f>U23*0.85</f>
        <v>2.361111111111111E-2</v>
      </c>
      <c r="S23">
        <f>0+0*0.01</f>
        <v>0</v>
      </c>
      <c r="T23" s="33" t="e">
        <f>R23/S23</f>
        <v>#DIV/0!</v>
      </c>
      <c r="U23" s="23">
        <v>2.7777777777777776E-2</v>
      </c>
      <c r="W23" s="1" t="s">
        <v>308</v>
      </c>
      <c r="Y23" s="32">
        <v>0.125</v>
      </c>
    </row>
    <row r="24" spans="2:25" x14ac:dyDescent="0.3">
      <c r="B24" t="s">
        <v>380</v>
      </c>
      <c r="C24" t="s">
        <v>380</v>
      </c>
      <c r="D24" s="4">
        <v>0</v>
      </c>
      <c r="E24" s="5">
        <f>(D24-D$5)/D$5</f>
        <v>-1</v>
      </c>
      <c r="F24" s="25" t="e">
        <f>D24/E$23</f>
        <v>#DIV/0!</v>
      </c>
      <c r="G24" s="26" t="e">
        <f>F24/$T$6</f>
        <v>#DIV/0!</v>
      </c>
      <c r="I24" t="s">
        <v>380</v>
      </c>
      <c r="J24" t="s">
        <v>380</v>
      </c>
      <c r="K24" s="4">
        <v>0</v>
      </c>
      <c r="L24" s="5">
        <f>(K24-K$5)/K$5</f>
        <v>-1</v>
      </c>
      <c r="M24" s="25" t="e">
        <f>K24/L$23</f>
        <v>#DIV/0!</v>
      </c>
      <c r="N24" s="26" t="e">
        <f>M24/$T$6</f>
        <v>#DIV/0!</v>
      </c>
      <c r="P24" t="s">
        <v>380</v>
      </c>
      <c r="Q24" t="s">
        <v>380</v>
      </c>
      <c r="R24" s="4">
        <v>0</v>
      </c>
      <c r="S24" s="5">
        <f>(R24-R$11)/R$11</f>
        <v>-1</v>
      </c>
      <c r="T24" s="25" t="e">
        <f>R24/S$23</f>
        <v>#DIV/0!</v>
      </c>
      <c r="U24" s="26" t="e">
        <f>T24/$T$6</f>
        <v>#DIV/0!</v>
      </c>
      <c r="W24" t="s">
        <v>308</v>
      </c>
      <c r="X24" s="28">
        <v>0</v>
      </c>
      <c r="Y24" s="27">
        <f>ABS(X24-Y23)</f>
        <v>0.125</v>
      </c>
    </row>
    <row r="25" spans="2:25" x14ac:dyDescent="0.3">
      <c r="B25" t="s">
        <v>380</v>
      </c>
      <c r="C25" t="s">
        <v>380</v>
      </c>
      <c r="D25" s="4">
        <v>0</v>
      </c>
      <c r="E25" s="5">
        <f t="shared" ref="E25:E26" si="12">(D25-D$5)/D$5</f>
        <v>-1</v>
      </c>
      <c r="F25" s="25" t="e">
        <f>D25/E$23</f>
        <v>#DIV/0!</v>
      </c>
      <c r="G25" s="26" t="e">
        <f>F25/$T$6</f>
        <v>#DIV/0!</v>
      </c>
      <c r="I25" t="s">
        <v>380</v>
      </c>
      <c r="J25" t="s">
        <v>380</v>
      </c>
      <c r="K25" s="4">
        <v>0</v>
      </c>
      <c r="L25" s="5">
        <f t="shared" ref="L25:L26" si="13">(K25-K$5)/K$5</f>
        <v>-1</v>
      </c>
      <c r="M25" s="25" t="e">
        <f>K25/L$23</f>
        <v>#DIV/0!</v>
      </c>
      <c r="N25" s="26" t="e">
        <f>M25/$T$6</f>
        <v>#DIV/0!</v>
      </c>
      <c r="P25" t="s">
        <v>380</v>
      </c>
      <c r="Q25" t="s">
        <v>380</v>
      </c>
      <c r="R25" s="4">
        <v>0</v>
      </c>
      <c r="S25" s="5">
        <f t="shared" ref="S25:S26" si="14">(R25-R$11)/R$11</f>
        <v>-1</v>
      </c>
      <c r="T25" s="25" t="e">
        <f>R25/S$23</f>
        <v>#DIV/0!</v>
      </c>
      <c r="U25" s="26" t="e">
        <f t="shared" ref="U25:U26" si="15">T25/$T$6</f>
        <v>#DIV/0!</v>
      </c>
      <c r="W25" t="s">
        <v>380</v>
      </c>
      <c r="X25" s="27">
        <v>0</v>
      </c>
      <c r="Y25" s="5">
        <f>(X24-Y23)/Y23</f>
        <v>-1</v>
      </c>
    </row>
    <row r="26" spans="2:25" x14ac:dyDescent="0.3">
      <c r="B26" t="s">
        <v>380</v>
      </c>
      <c r="C26" t="s">
        <v>380</v>
      </c>
      <c r="D26" s="4">
        <v>0</v>
      </c>
      <c r="E26" s="5">
        <f t="shared" si="12"/>
        <v>-1</v>
      </c>
      <c r="F26" s="25" t="e">
        <f>D26/E$23</f>
        <v>#DIV/0!</v>
      </c>
      <c r="G26" s="26" t="e">
        <f>F26/$T$6</f>
        <v>#DIV/0!</v>
      </c>
      <c r="I26" t="s">
        <v>380</v>
      </c>
      <c r="J26" t="s">
        <v>380</v>
      </c>
      <c r="K26" s="4">
        <v>0</v>
      </c>
      <c r="L26" s="5">
        <f t="shared" si="13"/>
        <v>-1</v>
      </c>
      <c r="M26" s="25" t="e">
        <f>K26/L$23</f>
        <v>#DIV/0!</v>
      </c>
      <c r="N26" s="26" t="e">
        <f>M26/$T$6</f>
        <v>#DIV/0!</v>
      </c>
      <c r="P26" t="s">
        <v>380</v>
      </c>
      <c r="Q26" t="s">
        <v>380</v>
      </c>
      <c r="R26" s="4">
        <v>0</v>
      </c>
      <c r="S26" s="5">
        <f t="shared" si="14"/>
        <v>-1</v>
      </c>
      <c r="T26" s="25" t="e">
        <f>R26/S$23</f>
        <v>#DIV/0!</v>
      </c>
      <c r="U26" s="26" t="e">
        <f t="shared" si="15"/>
        <v>#DIV/0!</v>
      </c>
      <c r="W26" t="s">
        <v>380</v>
      </c>
      <c r="X26" s="27">
        <v>0</v>
      </c>
      <c r="Y26" s="27" t="s">
        <v>382</v>
      </c>
    </row>
    <row r="27" spans="2:25" x14ac:dyDescent="0.3">
      <c r="W27" t="s">
        <v>380</v>
      </c>
      <c r="X27" s="27">
        <v>0</v>
      </c>
      <c r="Y27" s="27">
        <f>AVERAGE(X24:X28)</f>
        <v>0</v>
      </c>
    </row>
    <row r="28" spans="2:25" x14ac:dyDescent="0.3">
      <c r="I28" s="34"/>
      <c r="P28" s="34"/>
      <c r="W28" t="s">
        <v>380</v>
      </c>
      <c r="X28" s="27">
        <v>0</v>
      </c>
    </row>
    <row r="29" spans="2:25" x14ac:dyDescent="0.3">
      <c r="I29" s="34"/>
      <c r="P29" s="34"/>
    </row>
    <row r="30" spans="2:25" x14ac:dyDescent="0.3">
      <c r="I30" s="34"/>
      <c r="P30" s="34"/>
    </row>
    <row r="31" spans="2:25" x14ac:dyDescent="0.3">
      <c r="I31" s="34"/>
      <c r="P31" s="34"/>
    </row>
    <row r="32" spans="2:25" x14ac:dyDescent="0.3">
      <c r="B32" s="35"/>
    </row>
  </sheetData>
  <conditionalFormatting sqref="E6:E8 E12:E14 E18:E20 E24:E26">
    <cfRule type="cellIs" dxfId="305" priority="41" operator="between">
      <formula>-0.15</formula>
      <formula>-0.05</formula>
    </cfRule>
    <cfRule type="cellIs" dxfId="304" priority="40" operator="between">
      <formula>-0.05</formula>
      <formula>0.05</formula>
    </cfRule>
    <cfRule type="cellIs" dxfId="303" priority="39" operator="between">
      <formula>0.05</formula>
      <formula>0.15</formula>
    </cfRule>
    <cfRule type="cellIs" dxfId="302" priority="38" operator="between">
      <formula>0.15</formula>
      <formula>0.25</formula>
    </cfRule>
    <cfRule type="cellIs" dxfId="301" priority="42" operator="lessThanOrEqual">
      <formula>-0.15</formula>
    </cfRule>
    <cfRule type="cellIs" dxfId="300" priority="37" operator="greaterThanOrEqual">
      <formula>0.25</formula>
    </cfRule>
  </conditionalFormatting>
  <conditionalFormatting sqref="L6:L8 L12:L14 L18:L20 L24:L26">
    <cfRule type="cellIs" dxfId="299" priority="32" operator="between">
      <formula>0.15</formula>
      <formula>0.25</formula>
    </cfRule>
    <cfRule type="cellIs" dxfId="298" priority="36" operator="lessThanOrEqual">
      <formula>-0.15</formula>
    </cfRule>
    <cfRule type="cellIs" dxfId="297" priority="35" operator="between">
      <formula>-0.15</formula>
      <formula>-0.05</formula>
    </cfRule>
    <cfRule type="cellIs" dxfId="296" priority="34" operator="between">
      <formula>-0.05</formula>
      <formula>0.05</formula>
    </cfRule>
    <cfRule type="cellIs" dxfId="295" priority="33" operator="between">
      <formula>0.05</formula>
      <formula>0.15</formula>
    </cfRule>
    <cfRule type="cellIs" dxfId="294" priority="31" operator="greaterThanOrEqual">
      <formula>0.25</formula>
    </cfRule>
  </conditionalFormatting>
  <conditionalFormatting sqref="S6:S8 S12:S14 S18:S20 S24:S26">
    <cfRule type="cellIs" dxfId="293" priority="30" operator="lessThanOrEqual">
      <formula>-0.15</formula>
    </cfRule>
    <cfRule type="cellIs" dxfId="292" priority="29" operator="between">
      <formula>-0.15</formula>
      <formula>-0.05</formula>
    </cfRule>
    <cfRule type="cellIs" dxfId="291" priority="28" operator="between">
      <formula>-0.05</formula>
      <formula>0.05</formula>
    </cfRule>
    <cfRule type="cellIs" dxfId="290" priority="26" operator="between">
      <formula>0.15</formula>
      <formula>0.25</formula>
    </cfRule>
    <cfRule type="cellIs" dxfId="289" priority="27" operator="between">
      <formula>0.05</formula>
      <formula>0.15</formula>
    </cfRule>
    <cfRule type="cellIs" dxfId="288" priority="25" operator="greaterThanOrEqual">
      <formula>0.25</formula>
    </cfRule>
  </conditionalFormatting>
  <conditionalFormatting sqref="Y7">
    <cfRule type="cellIs" dxfId="287" priority="19" operator="greaterThanOrEqual">
      <formula>0.25</formula>
    </cfRule>
    <cfRule type="cellIs" dxfId="286" priority="20" operator="between">
      <formula>0.15</formula>
      <formula>0.25</formula>
    </cfRule>
    <cfRule type="cellIs" dxfId="285" priority="21" operator="between">
      <formula>0.05</formula>
      <formula>0.15</formula>
    </cfRule>
    <cfRule type="cellIs" dxfId="284" priority="22" operator="between">
      <formula>-0.05</formula>
      <formula>0.05</formula>
    </cfRule>
    <cfRule type="cellIs" dxfId="283" priority="23" operator="between">
      <formula>-0.15</formula>
      <formula>-0.05</formula>
    </cfRule>
    <cfRule type="cellIs" dxfId="282" priority="24" operator="lessThanOrEqual">
      <formula>-0.15</formula>
    </cfRule>
  </conditionalFormatting>
  <conditionalFormatting sqref="Y13">
    <cfRule type="cellIs" dxfId="281" priority="18" operator="lessThanOrEqual">
      <formula>-0.15</formula>
    </cfRule>
    <cfRule type="cellIs" dxfId="280" priority="16" operator="between">
      <formula>-0.05</formula>
      <formula>0.05</formula>
    </cfRule>
    <cfRule type="cellIs" dxfId="279" priority="17" operator="between">
      <formula>-0.15</formula>
      <formula>-0.05</formula>
    </cfRule>
    <cfRule type="cellIs" dxfId="278" priority="15" operator="between">
      <formula>0.05</formula>
      <formula>0.15</formula>
    </cfRule>
    <cfRule type="cellIs" dxfId="277" priority="14" operator="between">
      <formula>0.15</formula>
      <formula>0.25</formula>
    </cfRule>
    <cfRule type="cellIs" dxfId="276" priority="13" operator="greaterThanOrEqual">
      <formula>0.25</formula>
    </cfRule>
  </conditionalFormatting>
  <conditionalFormatting sqref="Y19">
    <cfRule type="cellIs" dxfId="275" priority="12" operator="lessThanOrEqual">
      <formula>-0.15</formula>
    </cfRule>
    <cfRule type="cellIs" dxfId="274" priority="10" operator="between">
      <formula>-0.05</formula>
      <formula>0.05</formula>
    </cfRule>
    <cfRule type="cellIs" dxfId="273" priority="9" operator="between">
      <formula>0.05</formula>
      <formula>0.15</formula>
    </cfRule>
    <cfRule type="cellIs" dxfId="272" priority="8" operator="between">
      <formula>0.15</formula>
      <formula>0.25</formula>
    </cfRule>
    <cfRule type="cellIs" dxfId="271" priority="7" operator="greaterThanOrEqual">
      <formula>0.25</formula>
    </cfRule>
    <cfRule type="cellIs" dxfId="270" priority="11" operator="between">
      <formula>-0.15</formula>
      <formula>-0.05</formula>
    </cfRule>
  </conditionalFormatting>
  <conditionalFormatting sqref="Y25">
    <cfRule type="cellIs" dxfId="269" priority="6" operator="lessThanOrEqual">
      <formula>-0.15</formula>
    </cfRule>
    <cfRule type="cellIs" dxfId="268" priority="1" operator="greaterThanOrEqual">
      <formula>0.25</formula>
    </cfRule>
    <cfRule type="cellIs" dxfId="267" priority="5" operator="between">
      <formula>-0.15</formula>
      <formula>-0.05</formula>
    </cfRule>
    <cfRule type="cellIs" dxfId="266" priority="4" operator="between">
      <formula>-0.05</formula>
      <formula>0.05</formula>
    </cfRule>
    <cfRule type="cellIs" dxfId="265" priority="3" operator="between">
      <formula>0.05</formula>
      <formula>0.15</formula>
    </cfRule>
    <cfRule type="cellIs" dxfId="264" priority="2" operator="between">
      <formula>0.15</formula>
      <formula>0.25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8840F-F2E3-48CE-B674-6A7D7A96BD40}">
  <dimension ref="B1:Y28"/>
  <sheetViews>
    <sheetView workbookViewId="0"/>
  </sheetViews>
  <sheetFormatPr baseColWidth="10" defaultRowHeight="14.4" x14ac:dyDescent="0.3"/>
  <cols>
    <col min="1" max="1" width="1.6640625" customWidth="1"/>
    <col min="2" max="2" width="20.21875" customWidth="1"/>
    <col min="3" max="3" width="4.21875" bestFit="1" customWidth="1"/>
    <col min="4" max="4" width="6.6640625" customWidth="1"/>
    <col min="5" max="5" width="7.77734375" customWidth="1"/>
    <col min="6" max="6" width="6.109375" customWidth="1"/>
    <col min="7" max="7" width="6.109375" style="1" customWidth="1"/>
    <col min="8" max="8" width="5.5546875" customWidth="1"/>
    <col min="9" max="9" width="20.21875" customWidth="1"/>
    <col min="10" max="10" width="4.21875" bestFit="1" customWidth="1"/>
    <col min="11" max="11" width="6.6640625" customWidth="1"/>
    <col min="12" max="12" width="7.77734375" customWidth="1"/>
    <col min="13" max="13" width="6.109375" customWidth="1"/>
    <col min="14" max="14" width="6.109375" style="1" customWidth="1"/>
    <col min="15" max="15" width="5.5546875" customWidth="1"/>
    <col min="16" max="16" width="20.21875" customWidth="1"/>
    <col min="17" max="17" width="4.21875" bestFit="1" customWidth="1"/>
    <col min="18" max="18" width="6.6640625" customWidth="1"/>
    <col min="19" max="19" width="7.77734375" customWidth="1"/>
    <col min="20" max="20" width="6.109375" customWidth="1"/>
    <col min="21" max="21" width="6.109375" style="1" customWidth="1"/>
    <col min="22" max="22" width="6.6640625" customWidth="1"/>
    <col min="23" max="23" width="7.33203125" bestFit="1" customWidth="1"/>
    <col min="24" max="24" width="7.109375" style="27" bestFit="1" customWidth="1"/>
    <col min="25" max="25" width="7.77734375" style="27" bestFit="1" customWidth="1"/>
  </cols>
  <sheetData>
    <row r="1" spans="2:25" ht="9.6" customHeight="1" x14ac:dyDescent="0.3">
      <c r="D1" s="3"/>
      <c r="E1" s="3"/>
      <c r="K1" s="3"/>
      <c r="L1" s="3"/>
      <c r="R1" s="3"/>
      <c r="S1" s="3"/>
    </row>
    <row r="2" spans="2:25" x14ac:dyDescent="0.3">
      <c r="B2" s="24" t="s">
        <v>0</v>
      </c>
      <c r="D2" s="3"/>
      <c r="E2" s="3"/>
      <c r="K2" s="3"/>
      <c r="L2" s="3"/>
      <c r="R2" s="29" t="s">
        <v>334</v>
      </c>
      <c r="S2" s="3"/>
    </row>
    <row r="3" spans="2:25" x14ac:dyDescent="0.3">
      <c r="B3" s="24" t="s">
        <v>238</v>
      </c>
      <c r="D3" s="3"/>
      <c r="E3" s="3"/>
      <c r="K3" s="3"/>
      <c r="L3" s="3"/>
    </row>
    <row r="4" spans="2:25" x14ac:dyDescent="0.3">
      <c r="D4" s="3"/>
      <c r="E4" s="3"/>
      <c r="K4" s="3"/>
      <c r="L4" s="3"/>
      <c r="R4" s="9"/>
      <c r="S4" s="3"/>
    </row>
    <row r="5" spans="2:25" x14ac:dyDescent="0.3">
      <c r="B5" s="1" t="s">
        <v>276</v>
      </c>
      <c r="D5" s="31">
        <f>G5*0.85</f>
        <v>1.1805555555555555E-2</v>
      </c>
      <c r="E5">
        <f>2.4+90*0.01</f>
        <v>3.3</v>
      </c>
      <c r="F5" s="33">
        <f>D5/E5</f>
        <v>3.5774410774410776E-3</v>
      </c>
      <c r="G5" s="23">
        <v>1.3888888888888888E-2</v>
      </c>
      <c r="I5" s="1" t="s">
        <v>12</v>
      </c>
      <c r="K5" s="31">
        <f>N5*0.85</f>
        <v>1.7708333333333333E-2</v>
      </c>
      <c r="L5">
        <f>4.4+180*0.01</f>
        <v>6.2</v>
      </c>
      <c r="M5" s="33">
        <f>K5/L5</f>
        <v>2.8561827956989244E-3</v>
      </c>
      <c r="N5" s="23">
        <v>2.0833333333333332E-2</v>
      </c>
      <c r="P5" s="8" t="s">
        <v>13</v>
      </c>
      <c r="R5" s="31">
        <f>U5*0.85</f>
        <v>2.9513888888888888E-2</v>
      </c>
      <c r="S5">
        <f>6.8+250*0.01</f>
        <v>9.3000000000000007</v>
      </c>
      <c r="T5" s="33">
        <f>R5/S5</f>
        <v>3.1735364396654718E-3</v>
      </c>
      <c r="U5" s="23">
        <v>3.4722222222222224E-2</v>
      </c>
      <c r="W5" s="1" t="s">
        <v>308</v>
      </c>
      <c r="Y5" s="32">
        <v>0.19444444444444445</v>
      </c>
    </row>
    <row r="6" spans="2:25" x14ac:dyDescent="0.3">
      <c r="B6" t="s">
        <v>280</v>
      </c>
      <c r="C6" t="s">
        <v>262</v>
      </c>
      <c r="D6" s="4">
        <v>1.1446759259259261E-2</v>
      </c>
      <c r="E6" s="5">
        <f>(D6-D$5)/D$5</f>
        <v>-3.0392156862744952E-2</v>
      </c>
      <c r="F6" s="25">
        <f>D6/E$5</f>
        <v>3.468714927048261E-3</v>
      </c>
      <c r="G6" s="26">
        <f>F6/$T$6</f>
        <v>1.1545906454771411</v>
      </c>
      <c r="I6" t="s">
        <v>282</v>
      </c>
      <c r="J6" t="s">
        <v>244</v>
      </c>
      <c r="K6" s="4">
        <v>1.9282407407407408E-2</v>
      </c>
      <c r="L6" s="5">
        <f>(K6-K$5)/K$5</f>
        <v>8.8888888888888948E-2</v>
      </c>
      <c r="M6" s="25">
        <f>K6/L$5</f>
        <v>3.1100657108721623E-3</v>
      </c>
      <c r="N6" s="26">
        <f>M6/$T$6</f>
        <v>1.0352112676056338</v>
      </c>
      <c r="P6" s="20" t="s">
        <v>283</v>
      </c>
      <c r="Q6" t="s">
        <v>244</v>
      </c>
      <c r="R6" s="11">
        <v>2.7939814814814817E-2</v>
      </c>
      <c r="S6" s="5">
        <f>(R6-R$5)/R$5</f>
        <v>-5.3333333333333247E-2</v>
      </c>
      <c r="T6" s="25">
        <f>R6/S$5</f>
        <v>3.0042811628833133E-3</v>
      </c>
      <c r="U6" s="30">
        <f>T6/$T$6</f>
        <v>1</v>
      </c>
      <c r="W6" t="s">
        <v>309</v>
      </c>
      <c r="X6" s="27">
        <v>0.19142361111111109</v>
      </c>
    </row>
    <row r="7" spans="2:25" x14ac:dyDescent="0.3">
      <c r="B7" t="s">
        <v>255</v>
      </c>
      <c r="C7" t="s">
        <v>262</v>
      </c>
      <c r="D7" s="4">
        <v>1.2546296296296297E-2</v>
      </c>
      <c r="E7" s="5">
        <f t="shared" ref="E7:E8" si="0">(D7-D$5)/D$5</f>
        <v>6.2745098039215755E-2</v>
      </c>
      <c r="F7" s="25">
        <f>D7/E$5</f>
        <v>3.8019079685746356E-3</v>
      </c>
      <c r="G7" s="26">
        <f>F7/$T$6</f>
        <v>1.2654967236574528</v>
      </c>
      <c r="I7" t="s">
        <v>29</v>
      </c>
      <c r="J7" t="s">
        <v>275</v>
      </c>
      <c r="K7" s="4">
        <v>1.9664351851851853E-2</v>
      </c>
      <c r="L7" s="5">
        <f t="shared" ref="L7:L8" si="1">(K7-K$5)/K$5</f>
        <v>0.11045751633986937</v>
      </c>
      <c r="M7" s="25">
        <f>K7/L$5</f>
        <v>3.1716696535244921E-3</v>
      </c>
      <c r="N7" s="26">
        <f>M7/$T$6</f>
        <v>1.0557166528583264</v>
      </c>
      <c r="P7" s="20" t="s">
        <v>23</v>
      </c>
      <c r="Q7" t="s">
        <v>244</v>
      </c>
      <c r="R7" s="11">
        <v>2.8125000000000001E-2</v>
      </c>
      <c r="S7" s="5">
        <f t="shared" ref="S7:S8" si="2">(R7-R$5)/R$5</f>
        <v>-4.7058823529411715E-2</v>
      </c>
      <c r="T7" s="25">
        <f>R7/S$5</f>
        <v>3.0241935483870967E-3</v>
      </c>
      <c r="U7" s="26">
        <f t="shared" ref="U7:U8" si="3">T7/$T$6</f>
        <v>1.0066280033140016</v>
      </c>
      <c r="W7" t="s">
        <v>310</v>
      </c>
      <c r="X7" s="27">
        <v>0.19287037037037036</v>
      </c>
      <c r="Y7" s="28">
        <f>AVERAGE(X6:X10)</f>
        <v>0.19589583333333332</v>
      </c>
    </row>
    <row r="8" spans="2:25" x14ac:dyDescent="0.3">
      <c r="B8" t="s">
        <v>281</v>
      </c>
      <c r="C8" t="s">
        <v>242</v>
      </c>
      <c r="D8" s="4">
        <v>1.2604166666666666E-2</v>
      </c>
      <c r="E8" s="5">
        <f t="shared" si="0"/>
        <v>6.7647058823529407E-2</v>
      </c>
      <c r="F8" s="25">
        <f>D8/E$5</f>
        <v>3.8194444444444448E-3</v>
      </c>
      <c r="G8" s="26">
        <f>F8/$T$6</f>
        <v>1.2713338856669429</v>
      </c>
      <c r="I8" t="s">
        <v>107</v>
      </c>
      <c r="J8" t="s">
        <v>247</v>
      </c>
      <c r="K8" s="4">
        <v>1.9953703703703706E-2</v>
      </c>
      <c r="L8" s="5">
        <f t="shared" si="1"/>
        <v>0.12679738562091519</v>
      </c>
      <c r="M8" s="25">
        <f>K8/L$5</f>
        <v>3.2183393070489849E-3</v>
      </c>
      <c r="N8" s="26">
        <f>M8/$T$6</f>
        <v>1.071251035625518</v>
      </c>
      <c r="P8" s="10" t="s">
        <v>24</v>
      </c>
      <c r="Q8" t="s">
        <v>247</v>
      </c>
      <c r="R8" s="11">
        <v>2.8495370370370369E-2</v>
      </c>
      <c r="S8" s="5">
        <f t="shared" si="2"/>
        <v>-3.4509803921568653E-2</v>
      </c>
      <c r="T8" s="25">
        <f>R8/S$5</f>
        <v>3.064018319394663E-3</v>
      </c>
      <c r="U8" s="26">
        <f t="shared" si="3"/>
        <v>1.0198840099420048</v>
      </c>
      <c r="W8" t="s">
        <v>311</v>
      </c>
      <c r="X8" s="27">
        <v>0.19300925925925927</v>
      </c>
      <c r="Y8" s="27">
        <f>Y7-Y5</f>
        <v>1.4513888888888771E-3</v>
      </c>
    </row>
    <row r="9" spans="2:25" x14ac:dyDescent="0.3">
      <c r="D9" s="3"/>
      <c r="E9" s="5"/>
      <c r="K9" s="3"/>
      <c r="L9" s="5"/>
      <c r="R9" s="3"/>
      <c r="S9" s="5"/>
      <c r="W9" t="s">
        <v>312</v>
      </c>
      <c r="X9" s="27">
        <v>0.1943287037037037</v>
      </c>
      <c r="Y9" s="5">
        <f>(Y7-Y5)/Y5</f>
        <v>7.4642857142856534E-3</v>
      </c>
    </row>
    <row r="10" spans="2:25" x14ac:dyDescent="0.3">
      <c r="D10" s="3"/>
      <c r="E10" s="3"/>
      <c r="K10" s="3"/>
      <c r="L10" s="3"/>
      <c r="R10" s="3"/>
      <c r="S10" s="3"/>
      <c r="W10" t="s">
        <v>313</v>
      </c>
      <c r="X10" s="27">
        <v>0.20784722222222221</v>
      </c>
    </row>
    <row r="11" spans="2:25" x14ac:dyDescent="0.3">
      <c r="B11" s="1" t="s">
        <v>277</v>
      </c>
      <c r="D11" s="31">
        <f>G11*0.85</f>
        <v>1.1805555555555555E-2</v>
      </c>
      <c r="E11">
        <f>2.1+80*0.01</f>
        <v>2.9000000000000004</v>
      </c>
      <c r="F11" s="33">
        <f>D11/E11</f>
        <v>4.0708812260536395E-3</v>
      </c>
      <c r="G11" s="23">
        <v>1.3888888888888888E-2</v>
      </c>
      <c r="I11" s="1" t="s">
        <v>35</v>
      </c>
      <c r="K11" s="31">
        <f>N11*0.85</f>
        <v>1.7708333333333333E-2</v>
      </c>
      <c r="L11">
        <f>4.2+155*0.01</f>
        <v>5.75</v>
      </c>
      <c r="M11" s="33">
        <f>K11/L11</f>
        <v>3.0797101449275359E-3</v>
      </c>
      <c r="N11" s="23">
        <v>2.0833333333333332E-2</v>
      </c>
      <c r="P11" s="1" t="s">
        <v>36</v>
      </c>
      <c r="R11" s="31">
        <f>U11*0.85</f>
        <v>2.361111111111111E-2</v>
      </c>
      <c r="S11">
        <f>5.5+180*0.01</f>
        <v>7.3</v>
      </c>
      <c r="T11" s="33">
        <f>R11/S11</f>
        <v>3.2343987823439876E-3</v>
      </c>
      <c r="U11" s="23">
        <v>2.7777777777777776E-2</v>
      </c>
      <c r="W11" s="1" t="s">
        <v>308</v>
      </c>
      <c r="Y11" s="32">
        <v>0.17361111111111113</v>
      </c>
    </row>
    <row r="12" spans="2:25" x14ac:dyDescent="0.3">
      <c r="B12" t="s">
        <v>287</v>
      </c>
      <c r="C12" t="s">
        <v>290</v>
      </c>
      <c r="D12" s="4">
        <v>1.1458333333333334E-2</v>
      </c>
      <c r="E12" s="5">
        <f>(D12-D$5)/D$5</f>
        <v>-2.9411764705882248E-2</v>
      </c>
      <c r="F12" s="25">
        <f>D12/E$11</f>
        <v>3.9511494252873558E-3</v>
      </c>
      <c r="G12" s="26">
        <f>F12/$T$6</f>
        <v>1.3151729851726994</v>
      </c>
      <c r="I12" t="s">
        <v>285</v>
      </c>
      <c r="J12" t="s">
        <v>241</v>
      </c>
      <c r="K12" s="4">
        <v>1.9872685185185184E-2</v>
      </c>
      <c r="L12" s="5">
        <f>(K12-K$5)/K$5</f>
        <v>0.12222222222222219</v>
      </c>
      <c r="M12" s="25">
        <f>K12/L$11</f>
        <v>3.4561191626409017E-3</v>
      </c>
      <c r="N12" s="26">
        <f>M12/$T$6</f>
        <v>1.1503980404164116</v>
      </c>
      <c r="P12" t="s">
        <v>284</v>
      </c>
      <c r="Q12" t="s">
        <v>244</v>
      </c>
      <c r="R12" s="4">
        <v>2.1747685185185186E-2</v>
      </c>
      <c r="S12" s="5">
        <f>(R12-R$11)/R$11</f>
        <v>-7.8921568627450922E-2</v>
      </c>
      <c r="T12" s="25">
        <f>R12/S$11</f>
        <v>2.9791349568746833E-3</v>
      </c>
      <c r="U12" s="26">
        <f>T12/$T$6</f>
        <v>0.99162987595192442</v>
      </c>
      <c r="W12" t="s">
        <v>314</v>
      </c>
      <c r="X12" s="27">
        <v>0.17762731481481484</v>
      </c>
    </row>
    <row r="13" spans="2:25" x14ac:dyDescent="0.3">
      <c r="B13" t="s">
        <v>288</v>
      </c>
      <c r="C13" t="s">
        <v>241</v>
      </c>
      <c r="D13" s="4">
        <v>1.1736111111111109E-2</v>
      </c>
      <c r="E13" s="5">
        <f t="shared" ref="E13:E14" si="4">(D13-D$5)/D$5</f>
        <v>-5.8823529411766553E-3</v>
      </c>
      <c r="F13" s="25">
        <f>D13/E$11</f>
        <v>4.0469348659003821E-3</v>
      </c>
      <c r="G13" s="26">
        <f>F13/$T$6</f>
        <v>1.3470559666314312</v>
      </c>
      <c r="I13" t="s">
        <v>43</v>
      </c>
      <c r="J13" t="s">
        <v>244</v>
      </c>
      <c r="K13" s="4">
        <v>1.9907407407407408E-2</v>
      </c>
      <c r="L13" s="5">
        <f t="shared" ref="L13:L14" si="5">(K13-K$5)/K$5</f>
        <v>0.1241830065359478</v>
      </c>
      <c r="M13" s="25">
        <f>K13/L$11</f>
        <v>3.4621578099838972E-3</v>
      </c>
      <c r="N13" s="26">
        <f>M13/$T$6</f>
        <v>1.1524080544648969</v>
      </c>
      <c r="P13" t="s">
        <v>89</v>
      </c>
      <c r="Q13" t="s">
        <v>244</v>
      </c>
      <c r="R13" s="4">
        <v>2.2361111111111113E-2</v>
      </c>
      <c r="S13" s="5">
        <f t="shared" ref="S13:S14" si="6">(R13-R$11)/R$11</f>
        <v>-5.2941176470588137E-2</v>
      </c>
      <c r="T13" s="25">
        <f>R13/S$11</f>
        <v>3.0631659056316596E-3</v>
      </c>
      <c r="U13" s="26">
        <f t="shared" ref="U13:U14" si="7">T13/$T$6</f>
        <v>1.0196002769234263</v>
      </c>
      <c r="W13" t="s">
        <v>315</v>
      </c>
      <c r="X13" s="27">
        <v>0.17966435185185184</v>
      </c>
      <c r="Y13" s="28">
        <f>AVERAGE(X12:X16)</f>
        <v>0.18213657407407408</v>
      </c>
    </row>
    <row r="14" spans="2:25" x14ac:dyDescent="0.3">
      <c r="B14" t="s">
        <v>289</v>
      </c>
      <c r="C14" t="s">
        <v>256</v>
      </c>
      <c r="D14" s="4">
        <v>1.1770833333333333E-2</v>
      </c>
      <c r="E14" s="5">
        <f t="shared" si="4"/>
        <v>-2.9411764705882543E-3</v>
      </c>
      <c r="F14" s="25">
        <f>D14/E$11</f>
        <v>4.0589080459770112E-3</v>
      </c>
      <c r="G14" s="26">
        <f>F14/$T$6</f>
        <v>1.351041339313773</v>
      </c>
      <c r="I14" t="s">
        <v>286</v>
      </c>
      <c r="J14" t="s">
        <v>245</v>
      </c>
      <c r="K14" s="4">
        <v>1.9930555555555556E-2</v>
      </c>
      <c r="L14" s="5">
        <f t="shared" si="5"/>
        <v>0.1254901960784314</v>
      </c>
      <c r="M14" s="25">
        <f>K14/L$11</f>
        <v>3.466183574879227E-3</v>
      </c>
      <c r="N14" s="26">
        <f>M14/$T$6</f>
        <v>1.1537480638305537</v>
      </c>
      <c r="P14" t="s">
        <v>38</v>
      </c>
      <c r="Q14" t="s">
        <v>244</v>
      </c>
      <c r="R14" s="4">
        <v>2.2407407407407407E-2</v>
      </c>
      <c r="S14" s="5">
        <f t="shared" si="6"/>
        <v>-5.0980392156862731E-2</v>
      </c>
      <c r="T14" s="25">
        <f>R14/S$11</f>
        <v>3.0695078640284122E-3</v>
      </c>
      <c r="U14" s="26">
        <f t="shared" si="7"/>
        <v>1.0217112505816528</v>
      </c>
      <c r="W14" t="s">
        <v>316</v>
      </c>
      <c r="X14" s="27">
        <v>0.18131944444444445</v>
      </c>
      <c r="Y14" s="27">
        <f>Y13-Y11</f>
        <v>8.525462962962943E-3</v>
      </c>
    </row>
    <row r="15" spans="2:25" x14ac:dyDescent="0.3">
      <c r="D15" s="3"/>
      <c r="E15" s="5"/>
      <c r="K15" s="3"/>
      <c r="L15" s="5"/>
      <c r="R15" s="3"/>
      <c r="S15" s="5"/>
      <c r="W15" t="s">
        <v>312</v>
      </c>
      <c r="X15" s="27">
        <v>0.18587962962962964</v>
      </c>
      <c r="Y15" s="5">
        <f>(Y13-Y11)/Y11</f>
        <v>4.9106666666666549E-2</v>
      </c>
    </row>
    <row r="16" spans="2:25" x14ac:dyDescent="0.3">
      <c r="D16" s="3"/>
      <c r="E16" s="5"/>
      <c r="K16" s="3"/>
      <c r="L16" s="5"/>
      <c r="R16" s="3"/>
      <c r="S16" s="5"/>
      <c r="W16" t="s">
        <v>310</v>
      </c>
      <c r="X16" s="27">
        <v>0.18619212962962964</v>
      </c>
    </row>
    <row r="17" spans="2:25" x14ac:dyDescent="0.3">
      <c r="B17" s="1" t="s">
        <v>278</v>
      </c>
      <c r="D17" s="31">
        <f>G17*0.85</f>
        <v>1.1805555555555555E-2</v>
      </c>
      <c r="E17">
        <f>2.2+75*0.01</f>
        <v>2.95</v>
      </c>
      <c r="F17" s="33">
        <f>D17/E17</f>
        <v>4.001883239171374E-3</v>
      </c>
      <c r="G17" s="23">
        <v>1.3888888888888888E-2</v>
      </c>
      <c r="I17" s="1" t="s">
        <v>234</v>
      </c>
      <c r="K17" s="31">
        <f>N17*0.85</f>
        <v>1.7708333333333333E-2</v>
      </c>
      <c r="L17">
        <f>4.1+140*0.01</f>
        <v>5.5</v>
      </c>
      <c r="M17" s="33">
        <f>K17/L17</f>
        <v>3.2196969696969696E-3</v>
      </c>
      <c r="N17" s="23">
        <v>2.0833333333333332E-2</v>
      </c>
      <c r="P17" s="8" t="s">
        <v>235</v>
      </c>
      <c r="R17" s="31">
        <f>U17*0.85</f>
        <v>2.361111111111111E-2</v>
      </c>
      <c r="S17">
        <f>5.4+170*0.01</f>
        <v>7.1000000000000005</v>
      </c>
      <c r="T17" s="33">
        <f>R17/S17</f>
        <v>3.3255086071987479E-3</v>
      </c>
      <c r="U17" s="23">
        <v>2.7777777777777776E-2</v>
      </c>
      <c r="W17" s="1" t="s">
        <v>308</v>
      </c>
      <c r="Y17" s="32">
        <v>0.13194444444444445</v>
      </c>
    </row>
    <row r="18" spans="2:25" x14ac:dyDescent="0.3">
      <c r="B18" t="s">
        <v>291</v>
      </c>
      <c r="C18" t="s">
        <v>290</v>
      </c>
      <c r="D18" s="4">
        <v>1.1076388888888887E-2</v>
      </c>
      <c r="E18" s="5">
        <f>(D18-D$5)/D$5</f>
        <v>-6.1764705882353048E-2</v>
      </c>
      <c r="F18" s="25">
        <f>D18/E$17</f>
        <v>3.754708097928436E-3</v>
      </c>
      <c r="G18" s="26">
        <f>F18/$T$6</f>
        <v>1.2497858537064859</v>
      </c>
      <c r="I18" t="s">
        <v>248</v>
      </c>
      <c r="J18" t="s">
        <v>241</v>
      </c>
      <c r="K18" s="4">
        <v>1.9143518518518518E-2</v>
      </c>
      <c r="L18" s="5">
        <f>(K18-K$5)/K$5</f>
        <v>8.1045751633986932E-2</v>
      </c>
      <c r="M18" s="25">
        <f>K18/L$17</f>
        <v>3.4806397306397304E-3</v>
      </c>
      <c r="N18" s="26">
        <f>M18/$T$6</f>
        <v>1.1585599156435942</v>
      </c>
      <c r="P18" t="s">
        <v>296</v>
      </c>
      <c r="Q18" t="s">
        <v>244</v>
      </c>
      <c r="R18" s="11">
        <v>2.2430555555555554E-2</v>
      </c>
      <c r="S18" s="5">
        <f>(R18-R$11)/R$11</f>
        <v>-5.0000000000000031E-2</v>
      </c>
      <c r="T18" s="25">
        <f>R18/S$17</f>
        <v>3.1592331768388101E-3</v>
      </c>
      <c r="U18" s="26">
        <f>T18/$T$6</f>
        <v>1.0515770680420551</v>
      </c>
      <c r="W18" t="s">
        <v>317</v>
      </c>
      <c r="X18" s="27">
        <v>0.13186342592592593</v>
      </c>
    </row>
    <row r="19" spans="2:25" x14ac:dyDescent="0.3">
      <c r="B19" t="s">
        <v>292</v>
      </c>
      <c r="C19" t="s">
        <v>256</v>
      </c>
      <c r="D19" s="4">
        <v>1.1122685185185185E-2</v>
      </c>
      <c r="E19" s="5">
        <f t="shared" ref="E19:E20" si="8">(D19-D$5)/D$5</f>
        <v>-5.7843137254901943E-2</v>
      </c>
      <c r="F19" s="25">
        <f>D19/E$17</f>
        <v>3.7704017576898931E-3</v>
      </c>
      <c r="G19" s="26">
        <f>F19/$T$6</f>
        <v>1.2550096190302331</v>
      </c>
      <c r="I19" t="s">
        <v>294</v>
      </c>
      <c r="J19" t="s">
        <v>241</v>
      </c>
      <c r="K19" s="4">
        <v>1.9918981481481482E-2</v>
      </c>
      <c r="L19" s="5">
        <f t="shared" ref="L19:L20" si="9">(K19-K$5)/K$5</f>
        <v>0.1248366013071896</v>
      </c>
      <c r="M19" s="25">
        <f>K19/L$17</f>
        <v>3.6216329966329967E-3</v>
      </c>
      <c r="N19" s="26">
        <f>M19/$T$6</f>
        <v>1.2054906981998945</v>
      </c>
      <c r="P19" t="s">
        <v>297</v>
      </c>
      <c r="Q19" t="s">
        <v>244</v>
      </c>
      <c r="R19" s="11">
        <v>2.5706018518518517E-2</v>
      </c>
      <c r="S19" s="5">
        <f t="shared" ref="S19:S20" si="10">(R19-R$11)/R$11</f>
        <v>8.8725490196078394E-2</v>
      </c>
      <c r="T19" s="25">
        <f>R19/S$17</f>
        <v>3.6205659885237343E-3</v>
      </c>
      <c r="U19" s="26">
        <f t="shared" ref="U19:U20" si="11">T19/$T$6</f>
        <v>1.2051355356663591</v>
      </c>
      <c r="W19" t="s">
        <v>309</v>
      </c>
      <c r="X19" s="27">
        <v>0.13883101851851851</v>
      </c>
      <c r="Y19" s="28">
        <f>AVERAGE(X18:X22)</f>
        <v>0.14373611111111112</v>
      </c>
    </row>
    <row r="20" spans="2:25" x14ac:dyDescent="0.3">
      <c r="B20" t="s">
        <v>293</v>
      </c>
      <c r="C20" t="s">
        <v>256</v>
      </c>
      <c r="D20" s="4">
        <v>1.1226851851851854E-2</v>
      </c>
      <c r="E20" s="5">
        <f t="shared" si="8"/>
        <v>-4.9019607843137032E-2</v>
      </c>
      <c r="F20" s="25">
        <f>D20/E$17</f>
        <v>3.8057124921531708E-3</v>
      </c>
      <c r="G20" s="26">
        <f>F20/$T$6</f>
        <v>1.2667630910086645</v>
      </c>
      <c r="I20" t="s">
        <v>295</v>
      </c>
      <c r="J20" t="s">
        <v>244</v>
      </c>
      <c r="K20" s="4">
        <v>2.028935185185185E-2</v>
      </c>
      <c r="L20" s="5">
        <f t="shared" si="9"/>
        <v>0.14575163398692803</v>
      </c>
      <c r="M20" s="25">
        <f>K20/L$17</f>
        <v>3.6889730639730637E-3</v>
      </c>
      <c r="N20" s="26">
        <f>M20/$T$6</f>
        <v>1.2279054003163365</v>
      </c>
      <c r="P20" t="s">
        <v>298</v>
      </c>
      <c r="Q20" t="s">
        <v>241</v>
      </c>
      <c r="R20" s="11">
        <v>2.613425925925926E-2</v>
      </c>
      <c r="S20" s="5">
        <f t="shared" si="10"/>
        <v>0.10686274509803927</v>
      </c>
      <c r="T20" s="25">
        <f>R20/S$17</f>
        <v>3.680881585811163E-3</v>
      </c>
      <c r="U20" s="26">
        <f t="shared" si="11"/>
        <v>1.225212084437028</v>
      </c>
      <c r="W20" t="s">
        <v>318</v>
      </c>
      <c r="X20" s="27">
        <v>0.14599537037037039</v>
      </c>
      <c r="Y20" s="27">
        <f>Y19-Y17</f>
        <v>1.1791666666666673E-2</v>
      </c>
    </row>
    <row r="21" spans="2:25" x14ac:dyDescent="0.3">
      <c r="D21" s="3"/>
      <c r="E21" s="5"/>
      <c r="K21" s="3"/>
      <c r="L21" s="5"/>
      <c r="R21" s="3"/>
      <c r="S21" s="5"/>
      <c r="W21" t="s">
        <v>310</v>
      </c>
      <c r="X21" s="27">
        <v>0.14906250000000001</v>
      </c>
      <c r="Y21" s="5">
        <f>(Y19-Y17)/Y17</f>
        <v>8.9368421052631625E-2</v>
      </c>
    </row>
    <row r="22" spans="2:25" x14ac:dyDescent="0.3">
      <c r="D22" s="3"/>
      <c r="E22" s="3"/>
      <c r="K22" s="3"/>
      <c r="L22" s="3"/>
      <c r="R22" s="3"/>
      <c r="S22" s="3"/>
      <c r="W22" t="s">
        <v>319</v>
      </c>
      <c r="X22" s="27">
        <v>0.15292824074074074</v>
      </c>
    </row>
    <row r="23" spans="2:25" x14ac:dyDescent="0.3">
      <c r="B23" s="1" t="s">
        <v>279</v>
      </c>
      <c r="D23" s="31">
        <f>G23*0.85</f>
        <v>1.1805555555555555E-2</v>
      </c>
      <c r="E23">
        <f>2.1+60*0.01</f>
        <v>2.7</v>
      </c>
      <c r="F23" s="33">
        <f>D23/E23</f>
        <v>4.3724279835390938E-3</v>
      </c>
      <c r="G23" s="23">
        <v>1.3888888888888888E-2</v>
      </c>
      <c r="I23" s="1" t="s">
        <v>236</v>
      </c>
      <c r="K23" s="31">
        <f>N23*0.85</f>
        <v>1.7708333333333333E-2</v>
      </c>
      <c r="L23">
        <f>4+150*0.01</f>
        <v>5.5</v>
      </c>
      <c r="M23" s="33">
        <f>K23/L23</f>
        <v>3.2196969696969696E-3</v>
      </c>
      <c r="N23" s="23">
        <v>2.0833333333333332E-2</v>
      </c>
      <c r="P23" s="1" t="s">
        <v>237</v>
      </c>
      <c r="R23" s="31">
        <f>U23*0.85</f>
        <v>2.361111111111111E-2</v>
      </c>
      <c r="S23">
        <f>5.2+175*0.01</f>
        <v>6.95</v>
      </c>
      <c r="T23" s="33">
        <f>R23/S23</f>
        <v>3.3972821742605914E-3</v>
      </c>
      <c r="U23" s="23">
        <v>2.7777777777777776E-2</v>
      </c>
      <c r="W23" s="1" t="s">
        <v>308</v>
      </c>
      <c r="Y23" s="32">
        <v>0.125</v>
      </c>
    </row>
    <row r="24" spans="2:25" x14ac:dyDescent="0.3">
      <c r="B24" t="s">
        <v>299</v>
      </c>
      <c r="C24" t="s">
        <v>262</v>
      </c>
      <c r="D24" s="4">
        <v>7.6273148148148151E-3</v>
      </c>
      <c r="E24" s="5">
        <f>(D24-D$5)/D$5</f>
        <v>-0.35392156862745094</v>
      </c>
      <c r="F24" s="25">
        <f>D24/E$23</f>
        <v>2.824931412894376E-3</v>
      </c>
      <c r="G24" s="26">
        <f>F24/$T$6</f>
        <v>0.94030194237319342</v>
      </c>
      <c r="I24" t="s">
        <v>302</v>
      </c>
      <c r="J24" t="s">
        <v>244</v>
      </c>
      <c r="K24" s="4">
        <v>2.0208333333333335E-2</v>
      </c>
      <c r="L24" s="5">
        <f>(K24-K$5)/K$5</f>
        <v>0.14117647058823543</v>
      </c>
      <c r="M24" s="25">
        <f>K24/L$23</f>
        <v>3.6742424242424245E-3</v>
      </c>
      <c r="N24" s="26">
        <f>M24/$T$6</f>
        <v>1.2230021842283649</v>
      </c>
      <c r="P24" t="s">
        <v>305</v>
      </c>
      <c r="Q24" t="s">
        <v>241</v>
      </c>
      <c r="R24" s="4">
        <v>2.372685185185185E-2</v>
      </c>
      <c r="S24" s="5">
        <f>(R24-R$11)/R$11</f>
        <v>4.9019607843136595E-3</v>
      </c>
      <c r="T24" s="25">
        <f>R24/S$23</f>
        <v>3.4139355182520644E-3</v>
      </c>
      <c r="U24" s="26">
        <f>T24/$T$6</f>
        <v>1.1363568631424601</v>
      </c>
      <c r="W24" t="s">
        <v>320</v>
      </c>
      <c r="X24" s="27">
        <v>0.12976851851851853</v>
      </c>
    </row>
    <row r="25" spans="2:25" x14ac:dyDescent="0.3">
      <c r="B25" t="s">
        <v>300</v>
      </c>
      <c r="C25" t="s">
        <v>262</v>
      </c>
      <c r="D25" s="4">
        <v>8.7384259259259255E-3</v>
      </c>
      <c r="E25" s="5">
        <f t="shared" ref="E25:E26" si="12">(D25-D$5)/D$5</f>
        <v>-0.25980392156862747</v>
      </c>
      <c r="F25" s="25">
        <f>D25/E$23</f>
        <v>3.2364540466392313E-3</v>
      </c>
      <c r="G25" s="26">
        <f>F25/$T$6</f>
        <v>1.0772806775292274</v>
      </c>
      <c r="I25" t="s">
        <v>303</v>
      </c>
      <c r="J25" t="s">
        <v>262</v>
      </c>
      <c r="K25" s="4">
        <v>2.1666666666666667E-2</v>
      </c>
      <c r="L25" s="5">
        <f t="shared" ref="L25:L26" si="13">(K25-K$5)/K$5</f>
        <v>0.22352941176470595</v>
      </c>
      <c r="M25" s="25">
        <f>K25/L$23</f>
        <v>3.9393939393939396E-3</v>
      </c>
      <c r="N25" s="26">
        <f>M25/$T$6</f>
        <v>1.3112600738118552</v>
      </c>
      <c r="P25" t="s">
        <v>306</v>
      </c>
      <c r="Q25" t="s">
        <v>244</v>
      </c>
      <c r="R25" s="4">
        <v>2.4571759259259262E-2</v>
      </c>
      <c r="S25" s="5">
        <f t="shared" ref="S25:S26" si="14">(R25-R$11)/R$11</f>
        <v>4.0686274509804062E-2</v>
      </c>
      <c r="T25" s="25">
        <f>R25/S$23</f>
        <v>3.5355049293898217E-3</v>
      </c>
      <c r="U25" s="26">
        <f t="shared" ref="U25:U26" si="15">T25/$T$6</f>
        <v>1.1768222538787529</v>
      </c>
      <c r="W25" t="s">
        <v>310</v>
      </c>
      <c r="X25" s="27">
        <v>0.13315972222222222</v>
      </c>
      <c r="Y25" s="28">
        <f>AVERAGE(X24:X28)</f>
        <v>0.13356712962962963</v>
      </c>
    </row>
    <row r="26" spans="2:25" x14ac:dyDescent="0.3">
      <c r="B26" t="s">
        <v>301</v>
      </c>
      <c r="C26" t="s">
        <v>241</v>
      </c>
      <c r="D26" s="4">
        <v>9.1782407407407403E-3</v>
      </c>
      <c r="E26" s="5">
        <f t="shared" si="12"/>
        <v>-0.22254901960784315</v>
      </c>
      <c r="F26" s="25">
        <f>D26/E$23</f>
        <v>3.3993484224965702E-3</v>
      </c>
      <c r="G26" s="26">
        <f>F26/$T$6</f>
        <v>1.1315014268618244</v>
      </c>
      <c r="I26" t="s">
        <v>304</v>
      </c>
      <c r="J26" t="s">
        <v>262</v>
      </c>
      <c r="K26" s="4">
        <v>2.1701388888888892E-2</v>
      </c>
      <c r="L26" s="5">
        <f t="shared" si="13"/>
        <v>0.22549019607843157</v>
      </c>
      <c r="M26" s="25">
        <f>K26/L$23</f>
        <v>3.945707070707071E-3</v>
      </c>
      <c r="N26" s="26">
        <f>M26/$T$6</f>
        <v>1.3133614521352717</v>
      </c>
      <c r="P26" t="s">
        <v>307</v>
      </c>
      <c r="Q26" t="s">
        <v>244</v>
      </c>
      <c r="R26" s="4">
        <v>2.5069444444444446E-2</v>
      </c>
      <c r="S26" s="5">
        <f t="shared" si="14"/>
        <v>6.1764705882353048E-2</v>
      </c>
      <c r="T26" s="25">
        <f>R26/S$23</f>
        <v>3.6071143085531577E-3</v>
      </c>
      <c r="U26" s="26">
        <f t="shared" si="15"/>
        <v>1.2006580319836924</v>
      </c>
      <c r="W26" t="s">
        <v>321</v>
      </c>
      <c r="X26" s="27">
        <v>0.13335648148148146</v>
      </c>
      <c r="Y26" s="27">
        <f>Y25-Y23</f>
        <v>8.5671296296296329E-3</v>
      </c>
    </row>
    <row r="27" spans="2:25" x14ac:dyDescent="0.3">
      <c r="W27" t="s">
        <v>328</v>
      </c>
      <c r="X27" s="27">
        <v>0.13575231481481481</v>
      </c>
      <c r="Y27" s="5">
        <f>(Y25-Y23)/Y23</f>
        <v>6.8537037037037063E-2</v>
      </c>
    </row>
    <row r="28" spans="2:25" x14ac:dyDescent="0.3">
      <c r="W28" t="s">
        <v>317</v>
      </c>
      <c r="X28" s="27">
        <v>0.13579861111111111</v>
      </c>
    </row>
  </sheetData>
  <conditionalFormatting sqref="E6:E8 L6:L8 S6:S8 E12:E14 L12:L14 S12:S14 E18:E20 L18:L20 S18:S20 E24:E26 L24:L26 S24:S26">
    <cfRule type="cellIs" dxfId="113" priority="73" operator="greaterThanOrEqual">
      <formula>0.25</formula>
    </cfRule>
    <cfRule type="cellIs" dxfId="112" priority="74" operator="between">
      <formula>0.15</formula>
      <formula>0.25</formula>
    </cfRule>
    <cfRule type="cellIs" dxfId="111" priority="75" operator="between">
      <formula>0.05</formula>
      <formula>0.15</formula>
    </cfRule>
    <cfRule type="cellIs" dxfId="110" priority="76" operator="between">
      <formula>-0.05</formula>
      <formula>0.05</formula>
    </cfRule>
    <cfRule type="cellIs" dxfId="109" priority="77" operator="between">
      <formula>-0.15</formula>
      <formula>-0.05</formula>
    </cfRule>
    <cfRule type="cellIs" dxfId="108" priority="78" operator="lessThanOrEqual">
      <formula>-0.15</formula>
    </cfRule>
  </conditionalFormatting>
  <conditionalFormatting sqref="Y9">
    <cfRule type="cellIs" dxfId="107" priority="19" operator="greaterThanOrEqual">
      <formula>0.25</formula>
    </cfRule>
    <cfRule type="cellIs" dxfId="106" priority="20" operator="between">
      <formula>0.15</formula>
      <formula>0.25</formula>
    </cfRule>
    <cfRule type="cellIs" dxfId="105" priority="21" operator="between">
      <formula>0.05</formula>
      <formula>0.15</formula>
    </cfRule>
    <cfRule type="cellIs" dxfId="104" priority="22" operator="between">
      <formula>-0.05</formula>
      <formula>0.05</formula>
    </cfRule>
    <cfRule type="cellIs" dxfId="103" priority="23" operator="between">
      <formula>-0.15</formula>
      <formula>-0.05</formula>
    </cfRule>
    <cfRule type="cellIs" dxfId="102" priority="24" operator="lessThanOrEqual">
      <formula>-0.15</formula>
    </cfRule>
  </conditionalFormatting>
  <conditionalFormatting sqref="Y15">
    <cfRule type="cellIs" dxfId="101" priority="13" operator="greaterThanOrEqual">
      <formula>0.25</formula>
    </cfRule>
    <cfRule type="cellIs" dxfId="100" priority="14" operator="between">
      <formula>0.15</formula>
      <formula>0.25</formula>
    </cfRule>
    <cfRule type="cellIs" dxfId="99" priority="15" operator="between">
      <formula>0.05</formula>
      <formula>0.15</formula>
    </cfRule>
    <cfRule type="cellIs" dxfId="98" priority="16" operator="between">
      <formula>-0.05</formula>
      <formula>0.05</formula>
    </cfRule>
    <cfRule type="cellIs" dxfId="97" priority="17" operator="between">
      <formula>-0.15</formula>
      <formula>-0.05</formula>
    </cfRule>
    <cfRule type="cellIs" dxfId="96" priority="18" operator="lessThanOrEqual">
      <formula>-0.15</formula>
    </cfRule>
  </conditionalFormatting>
  <conditionalFormatting sqref="Y21">
    <cfRule type="cellIs" dxfId="95" priority="7" operator="greaterThanOrEqual">
      <formula>0.25</formula>
    </cfRule>
    <cfRule type="cellIs" dxfId="94" priority="8" operator="between">
      <formula>0.15</formula>
      <formula>0.25</formula>
    </cfRule>
    <cfRule type="cellIs" dxfId="93" priority="9" operator="between">
      <formula>0.05</formula>
      <formula>0.15</formula>
    </cfRule>
    <cfRule type="cellIs" dxfId="92" priority="10" operator="between">
      <formula>-0.05</formula>
      <formula>0.05</formula>
    </cfRule>
    <cfRule type="cellIs" dxfId="91" priority="11" operator="between">
      <formula>-0.15</formula>
      <formula>-0.05</formula>
    </cfRule>
    <cfRule type="cellIs" dxfId="90" priority="12" operator="lessThanOrEqual">
      <formula>-0.15</formula>
    </cfRule>
  </conditionalFormatting>
  <conditionalFormatting sqref="Y27">
    <cfRule type="cellIs" dxfId="89" priority="1" operator="greaterThanOrEqual">
      <formula>0.25</formula>
    </cfRule>
    <cfRule type="cellIs" dxfId="88" priority="2" operator="between">
      <formula>0.15</formula>
      <formula>0.25</formula>
    </cfRule>
    <cfRule type="cellIs" dxfId="87" priority="3" operator="between">
      <formula>0.05</formula>
      <formula>0.15</formula>
    </cfRule>
    <cfRule type="cellIs" dxfId="86" priority="4" operator="between">
      <formula>-0.05</formula>
      <formula>0.05</formula>
    </cfRule>
    <cfRule type="cellIs" dxfId="85" priority="5" operator="between">
      <formula>-0.15</formula>
      <formula>-0.05</formula>
    </cfRule>
    <cfRule type="cellIs" dxfId="84" priority="6" operator="lessThanOrEqual">
      <formula>-0.15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A78AE-B82C-450D-96AE-0D7327C1E9BB}">
  <dimension ref="B1:Y32"/>
  <sheetViews>
    <sheetView workbookViewId="0">
      <selection activeCell="Y8" sqref="Y8"/>
    </sheetView>
  </sheetViews>
  <sheetFormatPr baseColWidth="10" defaultRowHeight="14.4" x14ac:dyDescent="0.3"/>
  <cols>
    <col min="1" max="1" width="1.6640625" customWidth="1"/>
    <col min="2" max="2" width="20.21875" customWidth="1"/>
    <col min="3" max="3" width="4.21875" bestFit="1" customWidth="1"/>
    <col min="4" max="4" width="6.6640625" customWidth="1"/>
    <col min="5" max="5" width="7.77734375" customWidth="1"/>
    <col min="6" max="6" width="6.109375" customWidth="1"/>
    <col min="7" max="7" width="6.109375" style="1" customWidth="1"/>
    <col min="8" max="8" width="5.5546875" customWidth="1"/>
    <col min="9" max="9" width="20.21875" customWidth="1"/>
    <col min="10" max="10" width="4.21875" bestFit="1" customWidth="1"/>
    <col min="11" max="11" width="6.6640625" customWidth="1"/>
    <col min="12" max="12" width="7.77734375" customWidth="1"/>
    <col min="13" max="13" width="6.109375" customWidth="1"/>
    <col min="14" max="14" width="6.109375" style="1" customWidth="1"/>
    <col min="15" max="15" width="5.5546875" customWidth="1"/>
    <col min="16" max="16" width="20.21875" customWidth="1"/>
    <col min="17" max="17" width="4.21875" bestFit="1" customWidth="1"/>
    <col min="18" max="18" width="6.6640625" customWidth="1"/>
    <col min="19" max="19" width="7.77734375" customWidth="1"/>
    <col min="20" max="20" width="6.109375" customWidth="1"/>
    <col min="21" max="21" width="6.109375" style="1" customWidth="1"/>
    <col min="22" max="22" width="6.6640625" customWidth="1"/>
    <col min="23" max="23" width="7.33203125" bestFit="1" customWidth="1"/>
    <col min="24" max="24" width="7.109375" style="27" bestFit="1" customWidth="1"/>
    <col min="25" max="25" width="7.77734375" style="27" bestFit="1" customWidth="1"/>
  </cols>
  <sheetData>
    <row r="1" spans="2:25" ht="9.6" customHeight="1" x14ac:dyDescent="0.3">
      <c r="D1" s="3"/>
      <c r="E1" s="3"/>
      <c r="K1" s="3"/>
      <c r="L1" s="3"/>
      <c r="R1" s="3"/>
      <c r="S1" s="3"/>
    </row>
    <row r="2" spans="2:25" x14ac:dyDescent="0.3">
      <c r="B2" s="24" t="s">
        <v>0</v>
      </c>
      <c r="D2" s="3"/>
      <c r="E2" s="3"/>
      <c r="K2" s="3"/>
      <c r="L2" s="3"/>
      <c r="R2" s="29" t="s">
        <v>338</v>
      </c>
      <c r="S2" s="3"/>
    </row>
    <row r="3" spans="2:25" x14ac:dyDescent="0.3">
      <c r="B3" s="24" t="s">
        <v>238</v>
      </c>
      <c r="D3" s="3"/>
      <c r="E3" s="3"/>
      <c r="K3" s="3"/>
      <c r="L3" s="3"/>
      <c r="R3" s="9"/>
      <c r="S3" s="9"/>
    </row>
    <row r="4" spans="2:25" x14ac:dyDescent="0.3">
      <c r="D4" s="3"/>
      <c r="E4" s="3"/>
      <c r="K4" s="3"/>
      <c r="L4" s="3"/>
      <c r="R4" s="9"/>
      <c r="S4" s="3"/>
    </row>
    <row r="5" spans="2:25" x14ac:dyDescent="0.3">
      <c r="B5" s="1" t="s">
        <v>276</v>
      </c>
      <c r="D5" s="31">
        <f>G5*0.85</f>
        <v>1.1805555555555555E-2</v>
      </c>
      <c r="E5">
        <f>3.06+55*0.01</f>
        <v>3.6100000000000003</v>
      </c>
      <c r="F5" s="33">
        <f>D5/E5</f>
        <v>3.2702369959987684E-3</v>
      </c>
      <c r="G5" s="23">
        <v>1.3888888888888888E-2</v>
      </c>
      <c r="I5" s="1" t="s">
        <v>12</v>
      </c>
      <c r="K5" s="31">
        <f>N5*0.85</f>
        <v>1.7708333333333333E-2</v>
      </c>
      <c r="L5">
        <f>5.54+95*0.01</f>
        <v>6.49</v>
      </c>
      <c r="M5" s="33">
        <f>K5/L5</f>
        <v>2.7285567539804827E-3</v>
      </c>
      <c r="N5" s="23">
        <v>2.0833333333333332E-2</v>
      </c>
      <c r="P5" s="8" t="s">
        <v>13</v>
      </c>
      <c r="R5" s="31">
        <f>U5*0.85</f>
        <v>2.9513888888888888E-2</v>
      </c>
      <c r="S5">
        <f>7.89+145*0.01</f>
        <v>9.34</v>
      </c>
      <c r="T5" s="33">
        <f>R5/S5</f>
        <v>3.1599452771829645E-3</v>
      </c>
      <c r="U5" s="23">
        <v>3.4722222222222224E-2</v>
      </c>
      <c r="W5" s="1" t="s">
        <v>308</v>
      </c>
      <c r="Y5" s="32">
        <v>0.19444444444444445</v>
      </c>
    </row>
    <row r="6" spans="2:25" x14ac:dyDescent="0.3">
      <c r="B6" t="s">
        <v>347</v>
      </c>
      <c r="C6" t="s">
        <v>262</v>
      </c>
      <c r="D6" s="4">
        <v>1.5127314814814816E-2</v>
      </c>
      <c r="E6" s="5">
        <f>(D6-D$5)/D$5</f>
        <v>0.28137254901960795</v>
      </c>
      <c r="F6" s="25">
        <f>D6/E$5</f>
        <v>4.1903919154611677E-3</v>
      </c>
      <c r="G6" s="26">
        <f>F6/$T$6</f>
        <v>1.320400510101988</v>
      </c>
      <c r="I6" t="s">
        <v>344</v>
      </c>
      <c r="J6" t="s">
        <v>247</v>
      </c>
      <c r="K6" s="4">
        <v>2.2870370370370371E-2</v>
      </c>
      <c r="L6" s="5">
        <f>(K6-K$5)/K$5</f>
        <v>0.29150326797385628</v>
      </c>
      <c r="M6" s="25">
        <f>K6/L$5</f>
        <v>3.5239399646179305E-3</v>
      </c>
      <c r="N6" s="26">
        <f>M6/$T$6</f>
        <v>1.1104002252586953</v>
      </c>
      <c r="P6" t="s">
        <v>341</v>
      </c>
      <c r="Q6" t="s">
        <v>244</v>
      </c>
      <c r="R6" s="4">
        <v>2.9641203703703704E-2</v>
      </c>
      <c r="S6" s="5">
        <f>(R6-R$5)/R$5</f>
        <v>4.3137254901961259E-3</v>
      </c>
      <c r="T6" s="25">
        <f>R6/S$5</f>
        <v>3.1735764136727736E-3</v>
      </c>
      <c r="U6" s="30">
        <f>T6/$T$6</f>
        <v>1</v>
      </c>
      <c r="W6" t="s">
        <v>335</v>
      </c>
      <c r="X6" s="28">
        <v>0.22685185185185186</v>
      </c>
      <c r="Y6" s="27">
        <f>X6-Y5</f>
        <v>3.2407407407407413E-2</v>
      </c>
    </row>
    <row r="7" spans="2:25" x14ac:dyDescent="0.3">
      <c r="B7" t="s">
        <v>348</v>
      </c>
      <c r="C7" t="s">
        <v>241</v>
      </c>
      <c r="D7" s="4">
        <v>1.556712962962963E-2</v>
      </c>
      <c r="E7" s="5">
        <f t="shared" ref="E7:E8" si="0">(D7-D$5)/D$5</f>
        <v>0.31862745098039225</v>
      </c>
      <c r="F7" s="25">
        <f>D7/E$5</f>
        <v>4.3122242741356316E-3</v>
      </c>
      <c r="G7" s="26">
        <f>F7/$T$6</f>
        <v>1.3587901194240044</v>
      </c>
      <c r="I7" t="s">
        <v>345</v>
      </c>
      <c r="J7" t="s">
        <v>247</v>
      </c>
      <c r="K7" s="4">
        <v>2.4305555555555556E-2</v>
      </c>
      <c r="L7" s="5">
        <f t="shared" ref="L7:L8" si="1">(K7-K$5)/K$5</f>
        <v>0.3725490196078432</v>
      </c>
      <c r="M7" s="25">
        <f>K7/L$5</f>
        <v>3.7450778976202705E-3</v>
      </c>
      <c r="N7" s="26">
        <f>M7/$T$6</f>
        <v>1.1800812110542815</v>
      </c>
      <c r="P7" t="s">
        <v>342</v>
      </c>
      <c r="Q7" t="s">
        <v>244</v>
      </c>
      <c r="R7" s="4">
        <v>2.9675925925925925E-2</v>
      </c>
      <c r="S7" s="5">
        <f t="shared" ref="S7:S8" si="2">(R7-R$5)/R$5</f>
        <v>5.4901960784313692E-3</v>
      </c>
      <c r="T7" s="25">
        <f>R7/S$5</f>
        <v>3.1772939963518121E-3</v>
      </c>
      <c r="U7" s="26">
        <f t="shared" ref="U7:U9" si="3">T7/$T$6</f>
        <v>1.0011714174150721</v>
      </c>
      <c r="W7" t="s">
        <v>327</v>
      </c>
      <c r="X7" s="27">
        <v>0.22770833333333335</v>
      </c>
      <c r="Y7" s="5">
        <f>(X6-Y5)/Y5</f>
        <v>0.16666666666666669</v>
      </c>
    </row>
    <row r="8" spans="2:25" x14ac:dyDescent="0.3">
      <c r="B8" t="s">
        <v>349</v>
      </c>
      <c r="C8" t="s">
        <v>242</v>
      </c>
      <c r="D8" s="4">
        <v>1.6041666666666666E-2</v>
      </c>
      <c r="E8" s="5">
        <f t="shared" si="0"/>
        <v>0.35882352941176465</v>
      </c>
      <c r="F8" s="25">
        <f>D8/E$5</f>
        <v>4.4436749769159734E-3</v>
      </c>
      <c r="G8" s="26">
        <f>F8/$T$6</f>
        <v>1.4002104873767061</v>
      </c>
      <c r="I8" t="s">
        <v>346</v>
      </c>
      <c r="J8" t="s">
        <v>262</v>
      </c>
      <c r="K8" s="4">
        <v>2.4537037037037038E-2</v>
      </c>
      <c r="L8" s="5">
        <f t="shared" si="1"/>
        <v>0.38562091503267981</v>
      </c>
      <c r="M8" s="25">
        <f>K8/L$5</f>
        <v>3.7807453061690349E-3</v>
      </c>
      <c r="N8" s="26">
        <f>M8/$T$6</f>
        <v>1.1913200797309891</v>
      </c>
      <c r="P8" t="s">
        <v>343</v>
      </c>
      <c r="Q8" t="s">
        <v>244</v>
      </c>
      <c r="R8" s="4">
        <v>3.0243055555555554E-2</v>
      </c>
      <c r="S8" s="5">
        <f t="shared" si="2"/>
        <v>2.4705882352941161E-2</v>
      </c>
      <c r="T8" s="25">
        <f>R8/S$5</f>
        <v>3.2380145134427787E-3</v>
      </c>
      <c r="U8" s="26">
        <f t="shared" si="3"/>
        <v>1.0203045685279186</v>
      </c>
      <c r="W8" t="s">
        <v>311</v>
      </c>
      <c r="X8" s="27">
        <v>0.22818287037037038</v>
      </c>
      <c r="Y8" s="27" t="s">
        <v>382</v>
      </c>
    </row>
    <row r="9" spans="2:25" x14ac:dyDescent="0.3">
      <c r="D9" s="3"/>
      <c r="E9" s="5"/>
      <c r="K9" s="3"/>
      <c r="L9" s="5"/>
      <c r="P9" s="36" t="s">
        <v>377</v>
      </c>
      <c r="Q9" s="37" t="s">
        <v>243</v>
      </c>
      <c r="R9" s="38">
        <v>3.5949074074074071E-2</v>
      </c>
      <c r="S9" s="39"/>
      <c r="T9" s="40">
        <f>R9/S$5</f>
        <v>3.8489372670314852E-3</v>
      </c>
      <c r="U9" s="41">
        <f t="shared" si="3"/>
        <v>1.2128074970714564</v>
      </c>
      <c r="W9" t="s">
        <v>310</v>
      </c>
      <c r="X9" s="27">
        <v>0.22984953703703703</v>
      </c>
      <c r="Y9" s="27">
        <f>AVERAGE(X6:X10)</f>
        <v>0.22862499999999999</v>
      </c>
    </row>
    <row r="10" spans="2:25" x14ac:dyDescent="0.3">
      <c r="D10" s="3"/>
      <c r="E10" s="3"/>
      <c r="K10" s="3"/>
      <c r="L10" s="3"/>
      <c r="R10" s="3"/>
      <c r="S10" s="3"/>
      <c r="W10" t="s">
        <v>325</v>
      </c>
      <c r="X10" s="27">
        <v>0.23053240740740741</v>
      </c>
    </row>
    <row r="11" spans="2:25" x14ac:dyDescent="0.3">
      <c r="B11" s="1" t="s">
        <v>277</v>
      </c>
      <c r="D11" s="31">
        <f>G11*0.85</f>
        <v>1.1805555555555555E-2</v>
      </c>
      <c r="E11">
        <f>2.93+50*0.01</f>
        <v>3.43</v>
      </c>
      <c r="F11" s="33">
        <f>D11/E11</f>
        <v>3.4418529316488497E-3</v>
      </c>
      <c r="G11" s="23">
        <v>1.3888888888888888E-2</v>
      </c>
      <c r="I11" s="1" t="s">
        <v>35</v>
      </c>
      <c r="K11" s="31">
        <f>N11*0.85</f>
        <v>1.7708333333333333E-2</v>
      </c>
      <c r="L11">
        <f>4.4+90*0.01</f>
        <v>5.3000000000000007</v>
      </c>
      <c r="M11" s="33">
        <f>K11/L11</f>
        <v>3.3411949685534584E-3</v>
      </c>
      <c r="N11" s="23">
        <v>2.0833333333333332E-2</v>
      </c>
      <c r="P11" s="1" t="s">
        <v>36</v>
      </c>
      <c r="R11" s="31">
        <f>U11*0.85</f>
        <v>2.361111111111111E-2</v>
      </c>
      <c r="S11">
        <f>6.13+125*0.01</f>
        <v>7.38</v>
      </c>
      <c r="T11" s="33">
        <f>R11/S11</f>
        <v>3.1993375489310447E-3</v>
      </c>
      <c r="U11" s="23">
        <v>2.7777777777777776E-2</v>
      </c>
      <c r="W11" s="1" t="s">
        <v>308</v>
      </c>
      <c r="Y11" s="32">
        <v>0.17361111111111113</v>
      </c>
    </row>
    <row r="12" spans="2:25" x14ac:dyDescent="0.3">
      <c r="B12" t="s">
        <v>356</v>
      </c>
      <c r="C12" t="s">
        <v>262</v>
      </c>
      <c r="D12" s="4">
        <v>1.7256944444444443E-2</v>
      </c>
      <c r="E12" s="5">
        <f>(D12-D$5)/D$5</f>
        <v>0.46176470588235285</v>
      </c>
      <c r="F12" s="25">
        <f>D12/E$11</f>
        <v>5.0311791383219947E-3</v>
      </c>
      <c r="G12" s="26">
        <f>F12/$T$6</f>
        <v>1.5853341727163335</v>
      </c>
      <c r="I12" t="s">
        <v>353</v>
      </c>
      <c r="J12" t="s">
        <v>244</v>
      </c>
      <c r="K12" s="4">
        <v>2.0555555555555556E-2</v>
      </c>
      <c r="L12" s="5">
        <f>(K12-K$5)/K$5</f>
        <v>0.16078431372549026</v>
      </c>
      <c r="M12" s="25">
        <f>K12/L$11</f>
        <v>3.8784067085953873E-3</v>
      </c>
      <c r="N12" s="26">
        <f>M12/$T$6</f>
        <v>1.2220933744925697</v>
      </c>
      <c r="P12" t="s">
        <v>350</v>
      </c>
      <c r="Q12" t="s">
        <v>253</v>
      </c>
      <c r="R12" s="4">
        <v>2.269675925925926E-2</v>
      </c>
      <c r="S12" s="5">
        <f>(R12-R$11)/R$11</f>
        <v>-3.8725490196078363E-2</v>
      </c>
      <c r="T12" s="25">
        <f>R12/S$11</f>
        <v>3.0754416340459702E-3</v>
      </c>
      <c r="U12" s="26">
        <f>T12/$T$6</f>
        <v>0.96907754317683747</v>
      </c>
      <c r="W12" t="s">
        <v>310</v>
      </c>
      <c r="X12" s="28">
        <v>0.21281249999999999</v>
      </c>
      <c r="Y12" s="27">
        <f>X12-Y11</f>
        <v>3.9201388888888855E-2</v>
      </c>
    </row>
    <row r="13" spans="2:25" x14ac:dyDescent="0.3">
      <c r="B13" t="s">
        <v>357</v>
      </c>
      <c r="C13" t="s">
        <v>262</v>
      </c>
      <c r="D13" s="4">
        <v>1.849537037037037E-2</v>
      </c>
      <c r="E13" s="5">
        <f t="shared" ref="E13:E14" si="4">(D13-D$5)/D$5</f>
        <v>0.56666666666666665</v>
      </c>
      <c r="F13" s="25">
        <f>D13/E$11</f>
        <v>5.3922362595831977E-3</v>
      </c>
      <c r="G13" s="26">
        <f>F13/$T$6</f>
        <v>1.6991039624417845</v>
      </c>
      <c r="I13" t="s">
        <v>354</v>
      </c>
      <c r="J13" t="s">
        <v>245</v>
      </c>
      <c r="K13" s="4">
        <v>2.3275462962962963E-2</v>
      </c>
      <c r="L13" s="5">
        <f t="shared" ref="L13:L14" si="5">(K13-K$5)/K$5</f>
        <v>0.31437908496732031</v>
      </c>
      <c r="M13" s="25">
        <f>K13/L$11</f>
        <v>4.3915967854647091E-3</v>
      </c>
      <c r="N13" s="26">
        <f>M13/$T$6</f>
        <v>1.383800549608422</v>
      </c>
      <c r="P13" t="s">
        <v>351</v>
      </c>
      <c r="Q13" t="s">
        <v>253</v>
      </c>
      <c r="R13" s="4">
        <v>2.3530092592592592E-2</v>
      </c>
      <c r="S13" s="5">
        <f t="shared" ref="S13:S14" si="6">(R13-R$11)/R$11</f>
        <v>-3.4313725490196056E-3</v>
      </c>
      <c r="T13" s="25">
        <f>R13/S$11</f>
        <v>3.1883594298905953E-3</v>
      </c>
      <c r="U13" s="26">
        <f t="shared" ref="U13:U15" si="7">T13/$T$6</f>
        <v>1.0046581566948038</v>
      </c>
      <c r="W13" t="s">
        <v>312</v>
      </c>
      <c r="X13" s="27">
        <v>0.21820601851851851</v>
      </c>
      <c r="Y13" s="5">
        <f>(X12-Y11)/Y11</f>
        <v>0.22579999999999978</v>
      </c>
    </row>
    <row r="14" spans="2:25" x14ac:dyDescent="0.3">
      <c r="B14" t="s">
        <v>358</v>
      </c>
      <c r="C14" t="s">
        <v>259</v>
      </c>
      <c r="D14" s="4">
        <v>1.8981481481481481E-2</v>
      </c>
      <c r="E14" s="5">
        <f t="shared" si="4"/>
        <v>0.60784313725490202</v>
      </c>
      <c r="F14" s="25">
        <f>D14/E$11</f>
        <v>5.5339596155922679E-3</v>
      </c>
      <c r="G14" s="26">
        <f>F14/$T$6</f>
        <v>1.7437612630816812</v>
      </c>
      <c r="I14" t="s">
        <v>355</v>
      </c>
      <c r="J14" t="s">
        <v>259</v>
      </c>
      <c r="K14" s="4">
        <v>2.3530092592592592E-2</v>
      </c>
      <c r="L14" s="5">
        <f t="shared" si="5"/>
        <v>0.32875816993464052</v>
      </c>
      <c r="M14" s="25">
        <f>K14/L$11</f>
        <v>4.4396401118099223E-3</v>
      </c>
      <c r="N14" s="26">
        <f>M14/$T$6</f>
        <v>1.3989390936618211</v>
      </c>
      <c r="P14" t="s">
        <v>352</v>
      </c>
      <c r="Q14" t="s">
        <v>244</v>
      </c>
      <c r="R14" s="4">
        <v>2.3587962962962963E-2</v>
      </c>
      <c r="S14" s="5">
        <f t="shared" si="6"/>
        <v>-9.8039215686270237E-4</v>
      </c>
      <c r="T14" s="25">
        <f>R14/S$11</f>
        <v>3.1962009434909166E-3</v>
      </c>
      <c r="U14" s="26">
        <f t="shared" si="7"/>
        <v>1.0071290326335516</v>
      </c>
      <c r="W14" t="s">
        <v>336</v>
      </c>
      <c r="X14" s="27">
        <v>0.22021990740740741</v>
      </c>
      <c r="Y14" s="27" t="s">
        <v>382</v>
      </c>
    </row>
    <row r="15" spans="2:25" x14ac:dyDescent="0.3">
      <c r="D15" s="3"/>
      <c r="E15" s="5"/>
      <c r="K15" s="3"/>
      <c r="L15" s="5"/>
      <c r="P15" s="36" t="s">
        <v>378</v>
      </c>
      <c r="Q15" s="37" t="s">
        <v>243</v>
      </c>
      <c r="R15" s="38">
        <v>2.8009259259259258E-2</v>
      </c>
      <c r="S15" s="39"/>
      <c r="T15" s="40">
        <f>R15/S$11</f>
        <v>3.7952925825554553E-3</v>
      </c>
      <c r="U15" s="41">
        <f t="shared" si="7"/>
        <v>1.1959039543538739</v>
      </c>
      <c r="W15" t="s">
        <v>337</v>
      </c>
      <c r="X15" s="27">
        <v>0.22530092592592593</v>
      </c>
      <c r="Y15" s="27">
        <f>AVERAGE(X12:X16)</f>
        <v>0.22217824074074075</v>
      </c>
    </row>
    <row r="16" spans="2:25" x14ac:dyDescent="0.3">
      <c r="D16" s="3"/>
      <c r="E16" s="5"/>
      <c r="K16" s="3"/>
      <c r="L16" s="5"/>
      <c r="R16" s="3"/>
      <c r="S16" s="5"/>
      <c r="W16" t="s">
        <v>327</v>
      </c>
      <c r="X16" s="27">
        <v>0.23435185185185184</v>
      </c>
    </row>
    <row r="17" spans="2:25" x14ac:dyDescent="0.3">
      <c r="B17" s="1" t="s">
        <v>278</v>
      </c>
      <c r="D17" s="31">
        <f>G17*0.85</f>
        <v>1.1805555555555555E-2</v>
      </c>
      <c r="E17">
        <f>3+60*0.01</f>
        <v>3.6</v>
      </c>
      <c r="F17" s="33">
        <f>D17/E17</f>
        <v>3.2793209876543208E-3</v>
      </c>
      <c r="G17" s="23">
        <v>1.3888888888888888E-2</v>
      </c>
      <c r="I17" s="1" t="s">
        <v>234</v>
      </c>
      <c r="K17" s="31">
        <f>N17*0.85</f>
        <v>1.7708333333333333E-2</v>
      </c>
      <c r="L17">
        <f>4.42+90*0.01</f>
        <v>5.32</v>
      </c>
      <c r="M17" s="33">
        <f>K17/L17</f>
        <v>3.3286340852130324E-3</v>
      </c>
      <c r="N17" s="23">
        <v>2.0833333333333332E-2</v>
      </c>
      <c r="P17" s="8" t="s">
        <v>235</v>
      </c>
      <c r="R17" s="31">
        <f>U17*0.85</f>
        <v>2.361111111111111E-2</v>
      </c>
      <c r="S17">
        <f>6.73+120*0.01</f>
        <v>7.9300000000000006</v>
      </c>
      <c r="T17" s="33">
        <f>R17/S17</f>
        <v>2.9774415020316657E-3</v>
      </c>
      <c r="U17" s="23">
        <v>2.7777777777777776E-2</v>
      </c>
      <c r="W17" s="1" t="s">
        <v>308</v>
      </c>
      <c r="Y17" s="32">
        <v>0.13194444444444445</v>
      </c>
    </row>
    <row r="18" spans="2:25" x14ac:dyDescent="0.3">
      <c r="B18" t="s">
        <v>365</v>
      </c>
      <c r="C18" t="s">
        <v>262</v>
      </c>
      <c r="D18" s="4">
        <v>1.7430555555555557E-2</v>
      </c>
      <c r="E18" s="5">
        <f>(D18-D$5)/D$5</f>
        <v>0.47647058823529426</v>
      </c>
      <c r="F18" s="25">
        <f>D18/E$17</f>
        <v>4.8418209876543213E-3</v>
      </c>
      <c r="G18" s="26">
        <f>F18/$T$6</f>
        <v>1.5256670571391384</v>
      </c>
      <c r="I18" t="s">
        <v>362</v>
      </c>
      <c r="J18" t="s">
        <v>262</v>
      </c>
      <c r="K18" s="4">
        <v>2.0821759259259259E-2</v>
      </c>
      <c r="L18" s="5">
        <f>(K18-K$5)/K$5</f>
        <v>0.17581699346405227</v>
      </c>
      <c r="M18" s="25">
        <f>K18/L$17</f>
        <v>3.9138645224171533E-3</v>
      </c>
      <c r="N18" s="26">
        <f>M18/$T$6</f>
        <v>1.2332661994697793</v>
      </c>
      <c r="P18" t="s">
        <v>359</v>
      </c>
      <c r="Q18" t="s">
        <v>244</v>
      </c>
      <c r="R18" s="4">
        <v>2.9062500000000002E-2</v>
      </c>
      <c r="S18" s="5">
        <f>(R18-R$11)/R$11</f>
        <v>0.23088235294117657</v>
      </c>
      <c r="T18" s="25">
        <f>R18/S$17</f>
        <v>3.6648802017654474E-3</v>
      </c>
      <c r="U18" s="26">
        <f>T18/$T$6</f>
        <v>1.1548107636469636</v>
      </c>
      <c r="W18" t="s">
        <v>317</v>
      </c>
      <c r="X18" s="28">
        <v>0.16019675925925925</v>
      </c>
      <c r="Y18" s="27">
        <f>X18-Y17</f>
        <v>2.82523148148148E-2</v>
      </c>
    </row>
    <row r="19" spans="2:25" x14ac:dyDescent="0.3">
      <c r="B19" t="s">
        <v>366</v>
      </c>
      <c r="C19" t="s">
        <v>256</v>
      </c>
      <c r="D19" s="4">
        <v>1.7800925925925925E-2</v>
      </c>
      <c r="E19" s="5">
        <f t="shared" ref="E19:E20" si="8">(D19-D$5)/D$5</f>
        <v>0.50784313725490193</v>
      </c>
      <c r="F19" s="25">
        <f>D19/E$17</f>
        <v>4.9447016460905345E-3</v>
      </c>
      <c r="G19" s="26">
        <f>F19/$T$6</f>
        <v>1.5580849494555076</v>
      </c>
      <c r="I19" t="s">
        <v>363</v>
      </c>
      <c r="J19" t="s">
        <v>244</v>
      </c>
      <c r="K19" s="4">
        <v>2.0856481481481483E-2</v>
      </c>
      <c r="L19" s="5">
        <f t="shared" ref="L19:L20" si="9">(K19-K$5)/K$5</f>
        <v>0.1777777777777779</v>
      </c>
      <c r="M19" s="25">
        <f>K19/L$17</f>
        <v>3.9203912559175715E-3</v>
      </c>
      <c r="N19" s="26">
        <f>M19/$T$6</f>
        <v>1.2353227856834588</v>
      </c>
      <c r="P19" t="s">
        <v>360</v>
      </c>
      <c r="Q19" t="s">
        <v>244</v>
      </c>
      <c r="R19" s="4">
        <v>3.0358796296296297E-2</v>
      </c>
      <c r="S19" s="5">
        <f t="shared" ref="S19:S20" si="10">(R19-R$11)/R$11</f>
        <v>0.28578431372549024</v>
      </c>
      <c r="T19" s="25">
        <f>R19/S$17</f>
        <v>3.8283475783475783E-3</v>
      </c>
      <c r="U19" s="26">
        <f t="shared" ref="U19:U20" si="11">T19/$T$6</f>
        <v>1.2063196467725947</v>
      </c>
      <c r="W19" t="s">
        <v>339</v>
      </c>
      <c r="X19" s="27">
        <v>0.17346064814814816</v>
      </c>
      <c r="Y19" s="5">
        <f>(X18-Y17)/Y17</f>
        <v>0.21412280701754374</v>
      </c>
    </row>
    <row r="20" spans="2:25" x14ac:dyDescent="0.3">
      <c r="B20" t="s">
        <v>367</v>
      </c>
      <c r="C20" t="s">
        <v>256</v>
      </c>
      <c r="D20" s="4">
        <v>1.9004629629629628E-2</v>
      </c>
      <c r="E20" s="5">
        <f t="shared" si="8"/>
        <v>0.60980392156862739</v>
      </c>
      <c r="F20" s="25">
        <f>D20/E$17</f>
        <v>5.2790637860082304E-3</v>
      </c>
      <c r="G20" s="26">
        <f>F20/$T$6</f>
        <v>1.6634430994837086</v>
      </c>
      <c r="I20" t="s">
        <v>364</v>
      </c>
      <c r="J20" t="s">
        <v>244</v>
      </c>
      <c r="K20" s="4">
        <v>2.0914351851851851E-2</v>
      </c>
      <c r="L20" s="5">
        <f t="shared" si="9"/>
        <v>0.1810457516339869</v>
      </c>
      <c r="M20" s="25">
        <f>K20/L$17</f>
        <v>3.9312691450849339E-3</v>
      </c>
      <c r="N20" s="26">
        <f>M20/$T$6</f>
        <v>1.2387504293729243</v>
      </c>
      <c r="P20" t="s">
        <v>361</v>
      </c>
      <c r="Q20" t="s">
        <v>244</v>
      </c>
      <c r="R20" s="4">
        <v>3.0960648148148147E-2</v>
      </c>
      <c r="S20" s="5">
        <f t="shared" si="10"/>
        <v>0.31127450980392157</v>
      </c>
      <c r="T20" s="25">
        <f>R20/S$17</f>
        <v>3.9042431460464245E-3</v>
      </c>
      <c r="U20" s="26">
        <f t="shared" si="11"/>
        <v>1.2302344853666378</v>
      </c>
      <c r="W20" t="s">
        <v>330</v>
      </c>
      <c r="X20" s="27">
        <v>0.1738773148148148</v>
      </c>
      <c r="Y20" s="27" t="s">
        <v>382</v>
      </c>
    </row>
    <row r="21" spans="2:25" x14ac:dyDescent="0.3">
      <c r="D21" s="3"/>
      <c r="E21" s="5"/>
      <c r="K21" s="3"/>
      <c r="L21" s="5"/>
      <c r="R21" s="3"/>
      <c r="S21" s="5"/>
      <c r="W21" t="s">
        <v>335</v>
      </c>
      <c r="X21" s="27">
        <v>0.17637731481481481</v>
      </c>
      <c r="Y21" s="27">
        <f>AVERAGE(X18:X22)</f>
        <v>0.1724236111111111</v>
      </c>
    </row>
    <row r="22" spans="2:25" x14ac:dyDescent="0.3">
      <c r="D22" s="3"/>
      <c r="E22" s="3"/>
      <c r="K22" s="3"/>
      <c r="L22" s="3"/>
      <c r="R22" s="3"/>
      <c r="S22" s="3"/>
      <c r="W22" t="s">
        <v>312</v>
      </c>
      <c r="X22" s="27">
        <v>0.17820601851851853</v>
      </c>
    </row>
    <row r="23" spans="2:25" x14ac:dyDescent="0.3">
      <c r="B23" s="1" t="s">
        <v>279</v>
      </c>
      <c r="D23" s="31">
        <f>G23*0.85</f>
        <v>1.1805555555555555E-2</v>
      </c>
      <c r="E23">
        <f>3.74+90*0.01</f>
        <v>4.6400000000000006</v>
      </c>
      <c r="F23" s="33">
        <f>D23/E23</f>
        <v>2.5443007662835247E-3</v>
      </c>
      <c r="G23" s="23">
        <v>1.3888888888888888E-2</v>
      </c>
      <c r="I23" s="1" t="s">
        <v>236</v>
      </c>
      <c r="K23" s="31">
        <f>N23*0.85</f>
        <v>1.7708333333333333E-2</v>
      </c>
      <c r="L23">
        <f>4.64+90*0.01</f>
        <v>5.54</v>
      </c>
      <c r="M23" s="33">
        <f>K23/L23</f>
        <v>3.1964500601684718E-3</v>
      </c>
      <c r="N23" s="23">
        <v>2.0833333333333332E-2</v>
      </c>
      <c r="P23" s="1" t="s">
        <v>237</v>
      </c>
      <c r="R23" s="31">
        <f>U23*0.85</f>
        <v>2.361111111111111E-2</v>
      </c>
      <c r="S23">
        <f>6.29+120*0.01</f>
        <v>7.49</v>
      </c>
      <c r="T23" s="33">
        <f>R23/S23</f>
        <v>3.1523512831924047E-3</v>
      </c>
      <c r="U23" s="23">
        <v>2.7777777777777776E-2</v>
      </c>
      <c r="W23" s="1" t="s">
        <v>308</v>
      </c>
      <c r="Y23" s="32">
        <v>0.125</v>
      </c>
    </row>
    <row r="24" spans="2:25" x14ac:dyDescent="0.3">
      <c r="B24" t="s">
        <v>374</v>
      </c>
      <c r="C24" t="s">
        <v>262</v>
      </c>
      <c r="D24" s="4">
        <v>2.0254629629629629E-2</v>
      </c>
      <c r="E24" s="5">
        <f>(D24-D$5)/D$5</f>
        <v>0.71568627450980393</v>
      </c>
      <c r="F24" s="25">
        <f>D24/E$23</f>
        <v>4.36522190293742E-3</v>
      </c>
      <c r="G24" s="26">
        <f>F24/$T$6</f>
        <v>1.375489773660612</v>
      </c>
      <c r="I24" t="s">
        <v>371</v>
      </c>
      <c r="J24" t="s">
        <v>244</v>
      </c>
      <c r="K24" s="4">
        <v>2.585648148148148E-2</v>
      </c>
      <c r="L24" s="5">
        <f>(K24-K$5)/K$5</f>
        <v>0.46013071895424834</v>
      </c>
      <c r="M24" s="25">
        <f>K24/L$23</f>
        <v>4.667234924455141E-3</v>
      </c>
      <c r="N24" s="26">
        <f>M24/$T$6</f>
        <v>1.4706546545869237</v>
      </c>
      <c r="P24" t="s">
        <v>368</v>
      </c>
      <c r="Q24" t="s">
        <v>244</v>
      </c>
      <c r="R24" s="4">
        <v>2.855324074074074E-2</v>
      </c>
      <c r="S24" s="5">
        <f>(R24-R$11)/R$11</f>
        <v>0.20931372549019608</v>
      </c>
      <c r="T24" s="25">
        <f>R24/S$23</f>
        <v>3.8121816743312067E-3</v>
      </c>
      <c r="U24" s="26">
        <f>T24/$T$6</f>
        <v>1.2012257394865677</v>
      </c>
      <c r="W24" t="s">
        <v>317</v>
      </c>
      <c r="X24" s="28">
        <v>0.18199074074074073</v>
      </c>
      <c r="Y24" s="27">
        <f>X24-Y23</f>
        <v>5.6990740740740731E-2</v>
      </c>
    </row>
    <row r="25" spans="2:25" x14ac:dyDescent="0.3">
      <c r="B25" t="s">
        <v>375</v>
      </c>
      <c r="C25" t="s">
        <v>241</v>
      </c>
      <c r="D25" s="4">
        <v>2.0671296296296295E-2</v>
      </c>
      <c r="E25" s="5">
        <f t="shared" ref="E25:E26" si="12">(D25-D$5)/D$5</f>
        <v>0.75098039215686274</v>
      </c>
      <c r="F25" s="25">
        <f>D25/E$23</f>
        <v>4.4550207535121317E-3</v>
      </c>
      <c r="G25" s="26">
        <f>F25/$T$6</f>
        <v>1.4037855632902014</v>
      </c>
      <c r="I25" t="s">
        <v>372</v>
      </c>
      <c r="J25" t="s">
        <v>244</v>
      </c>
      <c r="K25" s="4">
        <v>2.6030092592592594E-2</v>
      </c>
      <c r="L25" s="5">
        <f t="shared" ref="L25:L26" si="13">(K25-K$5)/K$5</f>
        <v>0.46993464052287592</v>
      </c>
      <c r="M25" s="25">
        <f>K25/L$23</f>
        <v>4.6985726701430676E-3</v>
      </c>
      <c r="N25" s="26">
        <f>M25/$T$6</f>
        <v>1.4805292382121717</v>
      </c>
      <c r="P25" t="s">
        <v>369</v>
      </c>
      <c r="Q25" t="s">
        <v>244</v>
      </c>
      <c r="R25" s="4">
        <v>2.9259259259259259E-2</v>
      </c>
      <c r="S25" s="5">
        <f t="shared" ref="S25:S26" si="14">(R25-R$11)/R$11</f>
        <v>0.23921568627450984</v>
      </c>
      <c r="T25" s="25">
        <f>R25/S$23</f>
        <v>3.9064431587796074E-3</v>
      </c>
      <c r="U25" s="26">
        <f t="shared" ref="U25:U26" si="15">T25/$T$6</f>
        <v>1.2309277135881813</v>
      </c>
      <c r="W25" t="s">
        <v>312</v>
      </c>
      <c r="X25" s="27">
        <v>0.18920138888888888</v>
      </c>
      <c r="Y25" s="5">
        <f>(X24-Y23)/Y23</f>
        <v>0.45592592592592585</v>
      </c>
    </row>
    <row r="26" spans="2:25" x14ac:dyDescent="0.3">
      <c r="B26" t="s">
        <v>376</v>
      </c>
      <c r="C26" t="s">
        <v>241</v>
      </c>
      <c r="D26" s="4">
        <v>2.087962962962963E-2</v>
      </c>
      <c r="E26" s="5">
        <f t="shared" si="12"/>
        <v>0.7686274509803922</v>
      </c>
      <c r="F26" s="25">
        <f>D26/E$23</f>
        <v>4.4999201787994884E-3</v>
      </c>
      <c r="G26" s="26">
        <f>F26/$T$6</f>
        <v>1.4179334581049965</v>
      </c>
      <c r="I26" t="s">
        <v>373</v>
      </c>
      <c r="J26" t="s">
        <v>244</v>
      </c>
      <c r="K26" s="4">
        <v>2.6782407407407408E-2</v>
      </c>
      <c r="L26" s="5">
        <f t="shared" si="13"/>
        <v>0.51241830065359484</v>
      </c>
      <c r="M26" s="25">
        <f>K26/L$23</f>
        <v>4.8343695681240806E-3</v>
      </c>
      <c r="N26" s="26">
        <f>M26/$T$6</f>
        <v>1.523319100588246</v>
      </c>
      <c r="P26" t="s">
        <v>370</v>
      </c>
      <c r="Q26" t="s">
        <v>244</v>
      </c>
      <c r="R26" s="4">
        <v>3.0081018518518517E-2</v>
      </c>
      <c r="S26" s="5">
        <f t="shared" si="14"/>
        <v>0.27401960784313723</v>
      </c>
      <c r="T26" s="25">
        <f>R26/S$23</f>
        <v>4.0161573455965976E-3</v>
      </c>
      <c r="U26" s="26">
        <f t="shared" si="15"/>
        <v>1.2654988637720264</v>
      </c>
      <c r="W26" t="s">
        <v>310</v>
      </c>
      <c r="X26" s="27">
        <v>0.19840277777777779</v>
      </c>
      <c r="Y26" s="27" t="s">
        <v>382</v>
      </c>
    </row>
    <row r="27" spans="2:25" x14ac:dyDescent="0.3">
      <c r="W27" t="s">
        <v>340</v>
      </c>
      <c r="X27" s="27">
        <v>0.19853009259259261</v>
      </c>
      <c r="Y27" s="27">
        <f>AVERAGE(X24:X28)</f>
        <v>0.19386342592592593</v>
      </c>
    </row>
    <row r="28" spans="2:25" x14ac:dyDescent="0.3">
      <c r="I28" s="34"/>
      <c r="P28" s="34"/>
      <c r="W28" t="s">
        <v>325</v>
      </c>
      <c r="X28" s="27">
        <v>0.20119212962962962</v>
      </c>
    </row>
    <row r="29" spans="2:25" x14ac:dyDescent="0.3">
      <c r="I29" s="34"/>
      <c r="P29" s="34"/>
    </row>
    <row r="30" spans="2:25" x14ac:dyDescent="0.3">
      <c r="I30" s="34"/>
      <c r="P30" s="34"/>
    </row>
    <row r="31" spans="2:25" x14ac:dyDescent="0.3">
      <c r="I31" s="34"/>
      <c r="P31" s="34"/>
    </row>
    <row r="32" spans="2:25" x14ac:dyDescent="0.3">
      <c r="B32" s="35"/>
    </row>
  </sheetData>
  <conditionalFormatting sqref="E6:E8 E12:E14 E18:E20 E24:E26">
    <cfRule type="cellIs" dxfId="83" priority="59" operator="between">
      <formula>-0.15</formula>
      <formula>-0.05</formula>
    </cfRule>
    <cfRule type="cellIs" dxfId="82" priority="58" operator="between">
      <formula>-0.05</formula>
      <formula>0.05</formula>
    </cfRule>
    <cfRule type="cellIs" dxfId="81" priority="57" operator="between">
      <formula>0.05</formula>
      <formula>0.15</formula>
    </cfRule>
    <cfRule type="cellIs" dxfId="80" priority="56" operator="between">
      <formula>0.15</formula>
      <formula>0.25</formula>
    </cfRule>
    <cfRule type="cellIs" dxfId="79" priority="60" operator="lessThanOrEqual">
      <formula>-0.15</formula>
    </cfRule>
    <cfRule type="cellIs" dxfId="78" priority="55" operator="greaterThanOrEqual">
      <formula>0.25</formula>
    </cfRule>
  </conditionalFormatting>
  <conditionalFormatting sqref="L6:L8 L12:L14 L18:L20 L24:L26">
    <cfRule type="cellIs" dxfId="77" priority="50" operator="between">
      <formula>0.15</formula>
      <formula>0.25</formula>
    </cfRule>
    <cfRule type="cellIs" dxfId="76" priority="54" operator="lessThanOrEqual">
      <formula>-0.15</formula>
    </cfRule>
    <cfRule type="cellIs" dxfId="75" priority="53" operator="between">
      <formula>-0.15</formula>
      <formula>-0.05</formula>
    </cfRule>
    <cfRule type="cellIs" dxfId="74" priority="52" operator="between">
      <formula>-0.05</formula>
      <formula>0.05</formula>
    </cfRule>
    <cfRule type="cellIs" dxfId="73" priority="51" operator="between">
      <formula>0.05</formula>
      <formula>0.15</formula>
    </cfRule>
    <cfRule type="cellIs" dxfId="72" priority="49" operator="greaterThanOrEqual">
      <formula>0.25</formula>
    </cfRule>
  </conditionalFormatting>
  <conditionalFormatting sqref="S6:S8 S12:S14 S18:S20 S24:S26">
    <cfRule type="cellIs" dxfId="71" priority="48" operator="lessThanOrEqual">
      <formula>-0.15</formula>
    </cfRule>
    <cfRule type="cellIs" dxfId="70" priority="47" operator="between">
      <formula>-0.15</formula>
      <formula>-0.05</formula>
    </cfRule>
    <cfRule type="cellIs" dxfId="69" priority="46" operator="between">
      <formula>-0.05</formula>
      <formula>0.05</formula>
    </cfRule>
    <cfRule type="cellIs" dxfId="68" priority="44" operator="between">
      <formula>0.15</formula>
      <formula>0.25</formula>
    </cfRule>
    <cfRule type="cellIs" dxfId="67" priority="45" operator="between">
      <formula>0.05</formula>
      <formula>0.15</formula>
    </cfRule>
    <cfRule type="cellIs" dxfId="66" priority="43" operator="greaterThanOrEqual">
      <formula>0.25</formula>
    </cfRule>
  </conditionalFormatting>
  <conditionalFormatting sqref="Y7">
    <cfRule type="cellIs" dxfId="65" priority="37" operator="greaterThanOrEqual">
      <formula>0.25</formula>
    </cfRule>
    <cfRule type="cellIs" dxfId="64" priority="38" operator="between">
      <formula>0.15</formula>
      <formula>0.25</formula>
    </cfRule>
    <cfRule type="cellIs" dxfId="63" priority="39" operator="between">
      <formula>0.05</formula>
      <formula>0.15</formula>
    </cfRule>
    <cfRule type="cellIs" dxfId="62" priority="40" operator="between">
      <formula>-0.05</formula>
      <formula>0.05</formula>
    </cfRule>
    <cfRule type="cellIs" dxfId="61" priority="41" operator="between">
      <formula>-0.15</formula>
      <formula>-0.05</formula>
    </cfRule>
    <cfRule type="cellIs" dxfId="60" priority="42" operator="lessThanOrEqual">
      <formula>-0.15</formula>
    </cfRule>
  </conditionalFormatting>
  <conditionalFormatting sqref="Y13">
    <cfRule type="cellIs" dxfId="59" priority="18" operator="lessThanOrEqual">
      <formula>-0.15</formula>
    </cfRule>
    <cfRule type="cellIs" dxfId="58" priority="16" operator="between">
      <formula>-0.05</formula>
      <formula>0.05</formula>
    </cfRule>
    <cfRule type="cellIs" dxfId="57" priority="17" operator="between">
      <formula>-0.15</formula>
      <formula>-0.05</formula>
    </cfRule>
    <cfRule type="cellIs" dxfId="56" priority="15" operator="between">
      <formula>0.05</formula>
      <formula>0.15</formula>
    </cfRule>
    <cfRule type="cellIs" dxfId="55" priority="14" operator="between">
      <formula>0.15</formula>
      <formula>0.25</formula>
    </cfRule>
    <cfRule type="cellIs" dxfId="54" priority="13" operator="greaterThanOrEqual">
      <formula>0.25</formula>
    </cfRule>
  </conditionalFormatting>
  <conditionalFormatting sqref="Y19">
    <cfRule type="cellIs" dxfId="53" priority="12" operator="lessThanOrEqual">
      <formula>-0.15</formula>
    </cfRule>
    <cfRule type="cellIs" dxfId="52" priority="10" operator="between">
      <formula>-0.05</formula>
      <formula>0.05</formula>
    </cfRule>
    <cfRule type="cellIs" dxfId="51" priority="9" operator="between">
      <formula>0.05</formula>
      <formula>0.15</formula>
    </cfRule>
    <cfRule type="cellIs" dxfId="50" priority="8" operator="between">
      <formula>0.15</formula>
      <formula>0.25</formula>
    </cfRule>
    <cfRule type="cellIs" dxfId="49" priority="7" operator="greaterThanOrEqual">
      <formula>0.25</formula>
    </cfRule>
    <cfRule type="cellIs" dxfId="48" priority="11" operator="between">
      <formula>-0.15</formula>
      <formula>-0.05</formula>
    </cfRule>
  </conditionalFormatting>
  <conditionalFormatting sqref="Y25">
    <cfRule type="cellIs" dxfId="47" priority="6" operator="lessThanOrEqual">
      <formula>-0.15</formula>
    </cfRule>
    <cfRule type="cellIs" dxfId="46" priority="1" operator="greaterThanOrEqual">
      <formula>0.25</formula>
    </cfRule>
    <cfRule type="cellIs" dxfId="45" priority="5" operator="between">
      <formula>-0.15</formula>
      <formula>-0.05</formula>
    </cfRule>
    <cfRule type="cellIs" dxfId="44" priority="4" operator="between">
      <formula>-0.05</formula>
      <formula>0.05</formula>
    </cfRule>
    <cfRule type="cellIs" dxfId="43" priority="3" operator="between">
      <formula>0.05</formula>
      <formula>0.15</formula>
    </cfRule>
    <cfRule type="cellIs" dxfId="42" priority="2" operator="between">
      <formula>0.15</formula>
      <formula>0.25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BDC02-E769-4867-BC0D-2CCD7604DD11}">
  <dimension ref="B1:Y32"/>
  <sheetViews>
    <sheetView tabSelected="1" workbookViewId="0">
      <selection activeCell="A28" sqref="A28"/>
    </sheetView>
  </sheetViews>
  <sheetFormatPr baseColWidth="10" defaultRowHeight="14.4" x14ac:dyDescent="0.3"/>
  <cols>
    <col min="1" max="1" width="1.6640625" customWidth="1"/>
    <col min="2" max="2" width="20.21875" customWidth="1"/>
    <col min="3" max="3" width="4.21875" bestFit="1" customWidth="1"/>
    <col min="4" max="4" width="6.6640625" customWidth="1"/>
    <col min="5" max="5" width="7.77734375" customWidth="1"/>
    <col min="6" max="6" width="6.109375" customWidth="1"/>
    <col min="7" max="7" width="6.109375" style="1" customWidth="1"/>
    <col min="8" max="8" width="5.5546875" customWidth="1"/>
    <col min="9" max="9" width="20.21875" customWidth="1"/>
    <col min="10" max="10" width="4.21875" bestFit="1" customWidth="1"/>
    <col min="11" max="11" width="6.6640625" customWidth="1"/>
    <col min="12" max="12" width="7.77734375" customWidth="1"/>
    <col min="13" max="13" width="6.109375" customWidth="1"/>
    <col min="14" max="14" width="6.109375" style="1" customWidth="1"/>
    <col min="15" max="15" width="5.5546875" customWidth="1"/>
    <col min="16" max="16" width="20.21875" customWidth="1"/>
    <col min="17" max="17" width="4.21875" bestFit="1" customWidth="1"/>
    <col min="18" max="18" width="6.6640625" customWidth="1"/>
    <col min="19" max="19" width="7.77734375" customWidth="1"/>
    <col min="20" max="20" width="6.109375" customWidth="1"/>
    <col min="21" max="21" width="6.109375" style="1" customWidth="1"/>
    <col min="22" max="22" width="6.6640625" customWidth="1"/>
    <col min="23" max="23" width="7.33203125" bestFit="1" customWidth="1"/>
    <col min="24" max="24" width="7.109375" style="27" bestFit="1" customWidth="1"/>
    <col min="25" max="25" width="7.77734375" style="27" bestFit="1" customWidth="1"/>
  </cols>
  <sheetData>
    <row r="1" spans="2:25" ht="9.6" customHeight="1" x14ac:dyDescent="0.3">
      <c r="D1" s="3"/>
      <c r="E1" s="3"/>
      <c r="K1" s="3"/>
      <c r="L1" s="3"/>
      <c r="R1" s="3"/>
      <c r="S1" s="3"/>
    </row>
    <row r="2" spans="2:25" x14ac:dyDescent="0.3">
      <c r="B2" s="24" t="s">
        <v>0</v>
      </c>
      <c r="D2" s="3"/>
      <c r="E2" s="3"/>
      <c r="K2" s="3"/>
      <c r="L2" s="3"/>
      <c r="R2" s="29" t="s">
        <v>384</v>
      </c>
      <c r="S2" s="3"/>
    </row>
    <row r="3" spans="2:25" x14ac:dyDescent="0.3">
      <c r="B3" s="24" t="s">
        <v>238</v>
      </c>
      <c r="D3" s="3"/>
      <c r="E3" s="3"/>
      <c r="K3" s="3"/>
      <c r="L3" s="3"/>
      <c r="R3" s="9"/>
      <c r="S3" s="9"/>
    </row>
    <row r="4" spans="2:25" x14ac:dyDescent="0.3">
      <c r="D4" s="3"/>
      <c r="E4" s="3"/>
      <c r="K4" s="3"/>
      <c r="L4" s="3"/>
      <c r="R4" s="9"/>
      <c r="S4" s="3"/>
    </row>
    <row r="5" spans="2:25" x14ac:dyDescent="0.3">
      <c r="B5" s="1" t="s">
        <v>276</v>
      </c>
      <c r="D5" s="31">
        <f>G5*0.85</f>
        <v>1.1805555555555555E-2</v>
      </c>
      <c r="E5">
        <f>2.7+90*0.01</f>
        <v>3.6</v>
      </c>
      <c r="F5" s="33">
        <f>D5/E5</f>
        <v>3.2793209876543208E-3</v>
      </c>
      <c r="G5" s="23">
        <v>1.3888888888888888E-2</v>
      </c>
      <c r="I5" s="1" t="s">
        <v>12</v>
      </c>
      <c r="K5" s="31">
        <f>N5*0.85</f>
        <v>1.7708333333333333E-2</v>
      </c>
      <c r="L5">
        <f>4.8+170*0.01</f>
        <v>6.5</v>
      </c>
      <c r="M5" s="33">
        <f>K5/L5</f>
        <v>2.7243589743589742E-3</v>
      </c>
      <c r="N5" s="23">
        <v>2.0833333333333332E-2</v>
      </c>
      <c r="P5" s="8" t="s">
        <v>13</v>
      </c>
      <c r="R5" s="31">
        <f>U5*0.85</f>
        <v>2.9513888888888888E-2</v>
      </c>
      <c r="S5">
        <f>8.5+315*0.01</f>
        <v>11.65</v>
      </c>
      <c r="T5" s="33">
        <f>R5/S5</f>
        <v>2.5333810205054839E-3</v>
      </c>
      <c r="U5" s="23">
        <v>3.4722222222222224E-2</v>
      </c>
      <c r="W5" s="1" t="s">
        <v>308</v>
      </c>
      <c r="Y5" s="32">
        <v>0.19444444444444445</v>
      </c>
    </row>
    <row r="6" spans="2:25" x14ac:dyDescent="0.3">
      <c r="B6" s="42" t="s">
        <v>397</v>
      </c>
      <c r="C6" t="s">
        <v>400</v>
      </c>
      <c r="D6" s="4">
        <v>1.074074074074074E-2</v>
      </c>
      <c r="E6" s="5">
        <f>(D6-D$5)/D$5</f>
        <v>-9.0196078431372589E-2</v>
      </c>
      <c r="F6" s="25">
        <f>D6/E$5</f>
        <v>2.9835390946502055E-3</v>
      </c>
      <c r="G6" s="26">
        <f>F6/$T$6</f>
        <v>1.2277641500863088</v>
      </c>
      <c r="I6" s="42" t="s">
        <v>394</v>
      </c>
      <c r="J6" t="s">
        <v>266</v>
      </c>
      <c r="K6" s="4">
        <v>1.579861111111111E-2</v>
      </c>
      <c r="L6" s="5">
        <f>(K6-K$5)/K$5</f>
        <v>-0.10784313725490197</v>
      </c>
      <c r="M6" s="25">
        <f>K6/L$5</f>
        <v>2.4305555555555556E-3</v>
      </c>
      <c r="N6" s="26">
        <f>M6/$T$6</f>
        <v>1.000204415372036</v>
      </c>
      <c r="P6" t="s">
        <v>391</v>
      </c>
      <c r="Q6" t="s">
        <v>253</v>
      </c>
      <c r="R6" s="4">
        <v>2.8310185185185185E-2</v>
      </c>
      <c r="S6" s="5">
        <f>(R6-R$5)/R$5</f>
        <v>-4.0784313725490184E-2</v>
      </c>
      <c r="T6" s="25">
        <f>R6/S$5</f>
        <v>2.4300588141789856E-3</v>
      </c>
      <c r="U6" s="30">
        <f>T6/$T$6</f>
        <v>1</v>
      </c>
      <c r="W6" t="s">
        <v>318</v>
      </c>
      <c r="X6" s="28">
        <v>0.18578703703703703</v>
      </c>
      <c r="Y6" s="27">
        <f>ABS(X6-Y5)</f>
        <v>8.6574074074074192E-3</v>
      </c>
    </row>
    <row r="7" spans="2:25" x14ac:dyDescent="0.3">
      <c r="B7" s="42" t="s">
        <v>398</v>
      </c>
      <c r="C7" t="s">
        <v>262</v>
      </c>
      <c r="D7" s="4">
        <v>1.1678240740740741E-2</v>
      </c>
      <c r="E7" s="5">
        <f t="shared" ref="E7:E8" si="0">(D7-D$5)/D$5</f>
        <v>-1.0784313725490168E-2</v>
      </c>
      <c r="F7" s="25">
        <f>D7/E$5</f>
        <v>3.2439557613168721E-3</v>
      </c>
      <c r="G7" s="26">
        <f>F7/$T$6</f>
        <v>1.3349289088761698</v>
      </c>
      <c r="I7" s="42" t="s">
        <v>395</v>
      </c>
      <c r="J7" t="s">
        <v>247</v>
      </c>
      <c r="K7" s="4">
        <v>1.6134259259259258E-2</v>
      </c>
      <c r="L7" s="5">
        <f t="shared" ref="L7:L8" si="1">(K7-K$5)/K$5</f>
        <v>-8.8888888888888948E-2</v>
      </c>
      <c r="M7" s="25">
        <f>K7/L$5</f>
        <v>2.482193732193732E-3</v>
      </c>
      <c r="N7" s="26">
        <f>M7/$T$6</f>
        <v>1.0214541795081451</v>
      </c>
      <c r="P7" t="s">
        <v>392</v>
      </c>
      <c r="Q7" t="s">
        <v>244</v>
      </c>
      <c r="R7" s="4">
        <v>2.8344907407407409E-2</v>
      </c>
      <c r="S7" s="5">
        <f t="shared" ref="S7:S8" si="2">(R7-R$5)/R$5</f>
        <v>-3.9607843137254822E-2</v>
      </c>
      <c r="T7" s="25">
        <f>R7/S$5</f>
        <v>2.433039262438404E-3</v>
      </c>
      <c r="U7" s="26">
        <f t="shared" ref="U7:U9" si="3">T7/$T$6</f>
        <v>1.0012264922322158</v>
      </c>
      <c r="W7" t="s">
        <v>310</v>
      </c>
      <c r="X7" s="27">
        <v>0.18768518518518518</v>
      </c>
      <c r="Y7" s="5">
        <f>(X6-Y5)/Y5</f>
        <v>-4.4523809523809584E-2</v>
      </c>
    </row>
    <row r="8" spans="2:25" x14ac:dyDescent="0.3">
      <c r="B8" s="42" t="s">
        <v>399</v>
      </c>
      <c r="C8" t="s">
        <v>401</v>
      </c>
      <c r="D8" s="4">
        <v>1.2337962962962964E-2</v>
      </c>
      <c r="E8" s="5">
        <f t="shared" si="0"/>
        <v>4.5098039215686371E-2</v>
      </c>
      <c r="F8" s="25">
        <f>D8/E$5</f>
        <v>3.4272119341563789E-3</v>
      </c>
      <c r="G8" s="26">
        <f>F8/$T$6</f>
        <v>1.4103411465431093</v>
      </c>
      <c r="I8" s="42" t="s">
        <v>396</v>
      </c>
      <c r="J8" t="s">
        <v>244</v>
      </c>
      <c r="K8" s="4">
        <v>1.6921296296296295E-2</v>
      </c>
      <c r="L8" s="5">
        <f t="shared" si="1"/>
        <v>-4.4444444444444474E-2</v>
      </c>
      <c r="M8" s="25">
        <f>K8/L$5</f>
        <v>2.6032763532763533E-3</v>
      </c>
      <c r="N8" s="26">
        <f>M8/$T$6</f>
        <v>1.0712812126548841</v>
      </c>
      <c r="P8" t="s">
        <v>393</v>
      </c>
      <c r="Q8" t="s">
        <v>244</v>
      </c>
      <c r="R8" s="4">
        <v>2.8923611111111112E-2</v>
      </c>
      <c r="S8" s="5">
        <f t="shared" si="2"/>
        <v>-1.9999999999999952E-2</v>
      </c>
      <c r="T8" s="25">
        <f>R8/S$5</f>
        <v>2.4827134000953745E-3</v>
      </c>
      <c r="U8" s="26">
        <f t="shared" si="3"/>
        <v>1.0216680294358138</v>
      </c>
      <c r="W8" t="s">
        <v>336</v>
      </c>
      <c r="X8" s="27">
        <v>0.18857638888888889</v>
      </c>
      <c r="Y8" s="27" t="s">
        <v>382</v>
      </c>
    </row>
    <row r="9" spans="2:25" x14ac:dyDescent="0.3">
      <c r="D9" s="3"/>
      <c r="E9" s="5"/>
      <c r="K9" s="3"/>
      <c r="L9" s="5"/>
      <c r="P9" s="36" t="s">
        <v>402</v>
      </c>
      <c r="Q9" s="37" t="s">
        <v>243</v>
      </c>
      <c r="R9" s="38">
        <v>3.4594907407407408E-2</v>
      </c>
      <c r="S9" s="39"/>
      <c r="T9" s="40">
        <f>R9/S$5</f>
        <v>2.969519949133683E-3</v>
      </c>
      <c r="U9" s="41">
        <f t="shared" si="3"/>
        <v>1.2219950940310713</v>
      </c>
      <c r="W9" t="s">
        <v>312</v>
      </c>
      <c r="X9" s="27">
        <v>0.19486111111111112</v>
      </c>
      <c r="Y9" s="27">
        <f>AVERAGE(X6:X10)</f>
        <v>0.19134953703703705</v>
      </c>
    </row>
    <row r="10" spans="2:25" x14ac:dyDescent="0.3">
      <c r="D10" s="3"/>
      <c r="E10" s="3"/>
      <c r="K10" s="3"/>
      <c r="L10" s="3"/>
      <c r="R10" s="3"/>
      <c r="S10" s="3"/>
      <c r="W10" t="s">
        <v>309</v>
      </c>
      <c r="X10" s="27">
        <v>0.19983796296296297</v>
      </c>
    </row>
    <row r="11" spans="2:25" x14ac:dyDescent="0.3">
      <c r="B11" s="1" t="s">
        <v>277</v>
      </c>
      <c r="D11" s="31">
        <f>G11*0.85</f>
        <v>1.1805555555555555E-2</v>
      </c>
      <c r="E11">
        <f>2.7+90*0.01</f>
        <v>3.6</v>
      </c>
      <c r="F11" s="33">
        <f>D11/E11</f>
        <v>3.2793209876543208E-3</v>
      </c>
      <c r="G11" s="23">
        <v>1.3888888888888888E-2</v>
      </c>
      <c r="I11" s="1" t="s">
        <v>35</v>
      </c>
      <c r="K11" s="31">
        <f>N11*0.85</f>
        <v>1.7708333333333333E-2</v>
      </c>
      <c r="L11">
        <f>4.7+155*0.01</f>
        <v>6.25</v>
      </c>
      <c r="M11" s="33">
        <f>K11/L11</f>
        <v>2.8333333333333331E-3</v>
      </c>
      <c r="N11" s="23">
        <v>2.0833333333333332E-2</v>
      </c>
      <c r="P11" s="1" t="s">
        <v>36</v>
      </c>
      <c r="R11" s="31">
        <f>U11*0.85</f>
        <v>2.361111111111111E-2</v>
      </c>
      <c r="S11">
        <f>6.7+245*0.01</f>
        <v>9.15</v>
      </c>
      <c r="T11" s="33">
        <f>R11/S11</f>
        <v>2.5804493017607768E-3</v>
      </c>
      <c r="U11" s="23">
        <v>2.7777777777777776E-2</v>
      </c>
      <c r="W11" s="1" t="s">
        <v>308</v>
      </c>
      <c r="Y11" s="32">
        <v>0.17361111111111113</v>
      </c>
    </row>
    <row r="12" spans="2:25" x14ac:dyDescent="0.3">
      <c r="B12" s="42" t="s">
        <v>410</v>
      </c>
      <c r="C12" t="s">
        <v>241</v>
      </c>
      <c r="D12" s="4">
        <v>1.2118055555555556E-2</v>
      </c>
      <c r="E12" s="5">
        <f>(D12-D$5)/D$5</f>
        <v>2.6470588235294142E-2</v>
      </c>
      <c r="F12" s="25">
        <f>D12/E$11</f>
        <v>3.3661265432098765E-3</v>
      </c>
      <c r="G12" s="26">
        <f>F12/$T$6</f>
        <v>1.3852037339874625</v>
      </c>
      <c r="I12" s="42" t="s">
        <v>407</v>
      </c>
      <c r="J12" t="s">
        <v>244</v>
      </c>
      <c r="K12" s="4">
        <v>1.7395833333333333E-2</v>
      </c>
      <c r="L12" s="5">
        <f>(K12-K$5)/K$5</f>
        <v>-1.7647058823529429E-2</v>
      </c>
      <c r="M12" s="25">
        <f>K12/L$11</f>
        <v>2.7833333333333334E-3</v>
      </c>
      <c r="N12" s="26">
        <f>M12/$T$6</f>
        <v>1.1453769419460345</v>
      </c>
      <c r="P12" t="s">
        <v>404</v>
      </c>
      <c r="Q12" t="s">
        <v>253</v>
      </c>
      <c r="R12" s="4">
        <v>2.4085648148148148E-2</v>
      </c>
      <c r="S12" s="5">
        <f>(R12-R$11)/R$11</f>
        <v>2.0098039215686283E-2</v>
      </c>
      <c r="T12" s="25">
        <f>R12/S$11</f>
        <v>2.6323112730216552E-3</v>
      </c>
      <c r="U12" s="26">
        <f>T12/$T$6</f>
        <v>1.083229450111479</v>
      </c>
      <c r="W12" t="s">
        <v>317</v>
      </c>
      <c r="X12" s="28">
        <v>0.18210648148148148</v>
      </c>
      <c r="Y12" s="27">
        <f>ABS(X12-Y11)</f>
        <v>8.4953703703703476E-3</v>
      </c>
    </row>
    <row r="13" spans="2:25" x14ac:dyDescent="0.3">
      <c r="B13" s="42" t="s">
        <v>411</v>
      </c>
      <c r="C13" t="s">
        <v>401</v>
      </c>
      <c r="D13" s="4">
        <v>1.2881944444444444E-2</v>
      </c>
      <c r="E13" s="5">
        <f t="shared" ref="E13:E14" si="4">(D13-D$5)/D$5</f>
        <v>9.1176470588235289E-2</v>
      </c>
      <c r="F13" s="25">
        <f>D13/E$11</f>
        <v>3.5783179012345676E-3</v>
      </c>
      <c r="G13" s="26">
        <f>F13/$T$6</f>
        <v>1.4725231670754975</v>
      </c>
      <c r="I13" s="42" t="s">
        <v>408</v>
      </c>
      <c r="J13" t="s">
        <v>266</v>
      </c>
      <c r="K13" s="4">
        <v>1.8020833333333333E-2</v>
      </c>
      <c r="L13" s="5">
        <f t="shared" ref="L13:L14" si="5">(K13-K$5)/K$5</f>
        <v>1.7647058823529429E-2</v>
      </c>
      <c r="M13" s="25">
        <f>K13/L$11</f>
        <v>2.8833333333333332E-3</v>
      </c>
      <c r="N13" s="26">
        <f>M13/$T$6</f>
        <v>1.186528209321341</v>
      </c>
      <c r="P13" t="s">
        <v>405</v>
      </c>
      <c r="Q13" t="s">
        <v>253</v>
      </c>
      <c r="R13" s="4">
        <v>2.4525462962962964E-2</v>
      </c>
      <c r="S13" s="5">
        <f t="shared" ref="S13:S14" si="6">(R13-R$11)/R$11</f>
        <v>3.8725490196078509E-2</v>
      </c>
      <c r="T13" s="25">
        <f>R13/S$11</f>
        <v>2.6803784658975915E-3</v>
      </c>
      <c r="U13" s="26">
        <f t="shared" ref="U13:U15" si="7">T13/$T$6</f>
        <v>1.1030097091716597</v>
      </c>
      <c r="W13" t="s">
        <v>312</v>
      </c>
      <c r="X13" s="27">
        <v>0.18247685185185186</v>
      </c>
      <c r="Y13" s="5">
        <f>(X12-Y11)/Y11</f>
        <v>4.8933333333333197E-2</v>
      </c>
    </row>
    <row r="14" spans="2:25" x14ac:dyDescent="0.3">
      <c r="B14" s="42" t="s">
        <v>412</v>
      </c>
      <c r="C14" t="s">
        <v>262</v>
      </c>
      <c r="D14" s="4">
        <v>1.292824074074074E-2</v>
      </c>
      <c r="E14" s="5">
        <f t="shared" si="4"/>
        <v>9.5098039215686256E-2</v>
      </c>
      <c r="F14" s="25">
        <f>D14/E$11</f>
        <v>3.5911779835390944E-3</v>
      </c>
      <c r="G14" s="26">
        <f>F14/$T$6</f>
        <v>1.4778152539293177</v>
      </c>
      <c r="I14" s="42" t="s">
        <v>409</v>
      </c>
      <c r="J14" t="s">
        <v>241</v>
      </c>
      <c r="K14" s="4">
        <v>1.8067129629629631E-2</v>
      </c>
      <c r="L14" s="5">
        <f t="shared" si="5"/>
        <v>2.026143790849683E-2</v>
      </c>
      <c r="M14" s="25">
        <f>K14/L$11</f>
        <v>2.890740740740741E-3</v>
      </c>
      <c r="N14" s="26">
        <f>M14/$T$6</f>
        <v>1.1895764513491416</v>
      </c>
      <c r="P14" t="s">
        <v>406</v>
      </c>
      <c r="Q14" t="s">
        <v>253</v>
      </c>
      <c r="R14" s="4">
        <v>2.4560185185185185E-2</v>
      </c>
      <c r="S14" s="5">
        <f t="shared" si="6"/>
        <v>4.0196078431372566E-2</v>
      </c>
      <c r="T14" s="25">
        <f>R14/S$11</f>
        <v>2.6841732442825336E-3</v>
      </c>
      <c r="U14" s="26">
        <f t="shared" si="7"/>
        <v>1.1045713085711477</v>
      </c>
      <c r="W14" t="s">
        <v>310</v>
      </c>
      <c r="X14" s="27">
        <v>0.18934027777777779</v>
      </c>
      <c r="Y14" s="27" t="s">
        <v>382</v>
      </c>
    </row>
    <row r="15" spans="2:25" x14ac:dyDescent="0.3">
      <c r="D15" s="3"/>
      <c r="E15" s="5"/>
      <c r="K15" s="3"/>
      <c r="L15" s="5"/>
      <c r="P15" s="36" t="s">
        <v>403</v>
      </c>
      <c r="Q15" s="37" t="s">
        <v>243</v>
      </c>
      <c r="R15" s="38">
        <v>2.8425925925925927E-2</v>
      </c>
      <c r="S15" s="39"/>
      <c r="T15" s="40">
        <f>R15/S$11</f>
        <v>3.1066585711394456E-3</v>
      </c>
      <c r="U15" s="41">
        <f t="shared" si="7"/>
        <v>1.2784293750474738</v>
      </c>
      <c r="W15" t="s">
        <v>385</v>
      </c>
      <c r="X15" s="27">
        <v>0.18969907407407408</v>
      </c>
      <c r="Y15" s="27">
        <f>AVERAGE(X12:X16)</f>
        <v>0.18704398148148149</v>
      </c>
    </row>
    <row r="16" spans="2:25" x14ac:dyDescent="0.3">
      <c r="D16" s="3"/>
      <c r="E16" s="5"/>
      <c r="K16" s="3"/>
      <c r="L16" s="5"/>
      <c r="R16" s="3"/>
      <c r="S16" s="5"/>
      <c r="W16" t="s">
        <v>335</v>
      </c>
      <c r="X16" s="27">
        <v>0.19159722222222222</v>
      </c>
    </row>
    <row r="17" spans="2:25" x14ac:dyDescent="0.3">
      <c r="B17" s="1" t="s">
        <v>278</v>
      </c>
      <c r="D17" s="31">
        <f>G17*0.85</f>
        <v>1.1805555555555555E-2</v>
      </c>
      <c r="E17">
        <f>2.6+85*0.01</f>
        <v>3.45</v>
      </c>
      <c r="F17" s="33">
        <f>D17/E17</f>
        <v>3.4219001610305954E-3</v>
      </c>
      <c r="G17" s="23">
        <v>1.3888888888888888E-2</v>
      </c>
      <c r="I17" s="1" t="s">
        <v>234</v>
      </c>
      <c r="K17" s="31">
        <f>N17*0.85</f>
        <v>1.7708333333333333E-2</v>
      </c>
      <c r="L17">
        <f>4+160*0.01</f>
        <v>5.6</v>
      </c>
      <c r="M17" s="33">
        <f>K17/L17</f>
        <v>3.162202380952381E-3</v>
      </c>
      <c r="N17" s="23">
        <v>2.0833333333333332E-2</v>
      </c>
      <c r="P17" s="8" t="s">
        <v>235</v>
      </c>
      <c r="R17" s="31">
        <f>U17*0.85</f>
        <v>2.361111111111111E-2</v>
      </c>
      <c r="S17">
        <f>5.6+210*0.01</f>
        <v>7.6999999999999993</v>
      </c>
      <c r="T17" s="33">
        <f>R17/S17</f>
        <v>3.0663780663780665E-3</v>
      </c>
      <c r="U17" s="23">
        <v>2.7777777777777776E-2</v>
      </c>
      <c r="W17" s="1" t="s">
        <v>308</v>
      </c>
      <c r="Y17" s="32">
        <v>0.13194444444444445</v>
      </c>
    </row>
    <row r="18" spans="2:25" x14ac:dyDescent="0.3">
      <c r="B18" s="42" t="s">
        <v>419</v>
      </c>
      <c r="C18" t="s">
        <v>256</v>
      </c>
      <c r="D18" s="4">
        <v>9.9305555555555553E-3</v>
      </c>
      <c r="E18" s="5">
        <f>(D18-D$5)/D$5</f>
        <v>-0.1588235294117647</v>
      </c>
      <c r="F18" s="25">
        <f>D18/E$17</f>
        <v>2.8784219001610303E-3</v>
      </c>
      <c r="G18" s="26">
        <f>F18/$T$6</f>
        <v>1.1845070923246472</v>
      </c>
      <c r="I18" s="42" t="s">
        <v>416</v>
      </c>
      <c r="J18" t="s">
        <v>244</v>
      </c>
      <c r="K18" s="4">
        <v>1.5185185185185185E-2</v>
      </c>
      <c r="L18" s="5">
        <f>(K18-K$5)/K$5</f>
        <v>-0.14248366013071892</v>
      </c>
      <c r="M18" s="25">
        <f>K18/L$17</f>
        <v>2.7116402116402118E-3</v>
      </c>
      <c r="N18" s="26">
        <f>M18/$T$6</f>
        <v>1.115874313748394</v>
      </c>
      <c r="P18" s="42" t="s">
        <v>413</v>
      </c>
      <c r="Q18" t="s">
        <v>266</v>
      </c>
      <c r="R18" s="4">
        <v>2.013888888888889E-2</v>
      </c>
      <c r="S18" s="5">
        <f>(R18-R$11)/R$11</f>
        <v>-0.14705882352941169</v>
      </c>
      <c r="T18" s="25">
        <f>R18/S$17</f>
        <v>2.6154401154401159E-3</v>
      </c>
      <c r="U18" s="26">
        <f>T18/$T$6</f>
        <v>1.0762867549457904</v>
      </c>
      <c r="W18" t="s">
        <v>330</v>
      </c>
      <c r="X18" s="28">
        <v>0.11231481481481481</v>
      </c>
      <c r="Y18" s="27">
        <f>ABS(X18-Y17)</f>
        <v>1.9629629629629636E-2</v>
      </c>
    </row>
    <row r="19" spans="2:25" x14ac:dyDescent="0.3">
      <c r="B19" s="42" t="s">
        <v>420</v>
      </c>
      <c r="C19" t="s">
        <v>256</v>
      </c>
      <c r="D19" s="4">
        <v>1.2418981481481482E-2</v>
      </c>
      <c r="E19" s="5">
        <f t="shared" ref="E19:E20" si="8">(D19-D$5)/D$5</f>
        <v>5.1960784313725583E-2</v>
      </c>
      <c r="F19" s="25">
        <f>D19/E$17</f>
        <v>3.599704777241009E-3</v>
      </c>
      <c r="G19" s="26">
        <f>F19/$T$6</f>
        <v>1.4813241376041335</v>
      </c>
      <c r="I19" s="42" t="s">
        <v>417</v>
      </c>
      <c r="J19" t="s">
        <v>259</v>
      </c>
      <c r="K19" s="4">
        <v>1.6226851851851853E-2</v>
      </c>
      <c r="L19" s="5">
        <f t="shared" ref="L19:L20" si="9">(K19-K$5)/K$5</f>
        <v>-8.3660130718954132E-2</v>
      </c>
      <c r="M19" s="25">
        <f>K19/L$17</f>
        <v>2.8976521164021168E-3</v>
      </c>
      <c r="N19" s="26">
        <f>M19/$T$6</f>
        <v>1.1924205700268662</v>
      </c>
      <c r="P19" s="42" t="s">
        <v>414</v>
      </c>
      <c r="Q19" t="s">
        <v>253</v>
      </c>
      <c r="R19" s="4">
        <v>2.0173611111111111E-2</v>
      </c>
      <c r="S19" s="5">
        <f t="shared" ref="S19:S20" si="10">(R19-R$11)/R$11</f>
        <v>-0.14558823529411763</v>
      </c>
      <c r="T19" s="25">
        <f>R19/S$17</f>
        <v>2.6199494949494953E-3</v>
      </c>
      <c r="U19" s="26">
        <f t="shared" ref="U19:U20" si="11">T19/$T$6</f>
        <v>1.0781424217646625</v>
      </c>
      <c r="W19" t="s">
        <v>387</v>
      </c>
      <c r="X19" s="27">
        <v>0.11231481481481481</v>
      </c>
      <c r="Y19" s="5">
        <f>(X18-Y17)/Y17</f>
        <v>-0.14877192982456144</v>
      </c>
    </row>
    <row r="20" spans="2:25" x14ac:dyDescent="0.3">
      <c r="B20" s="42" t="s">
        <v>421</v>
      </c>
      <c r="C20" t="s">
        <v>241</v>
      </c>
      <c r="D20" s="4">
        <v>1.2523148148148148E-2</v>
      </c>
      <c r="E20" s="5">
        <f t="shared" si="8"/>
        <v>6.0784313725490195E-2</v>
      </c>
      <c r="F20" s="25">
        <f>D20/E$17</f>
        <v>3.6298980139559847E-3</v>
      </c>
      <c r="G20" s="26">
        <f>F20/$T$6</f>
        <v>1.4937490371739723</v>
      </c>
      <c r="I20" s="42" t="s">
        <v>418</v>
      </c>
      <c r="J20" t="s">
        <v>275</v>
      </c>
      <c r="K20" s="4">
        <v>1.6967592592592593E-2</v>
      </c>
      <c r="L20" s="5">
        <f t="shared" si="9"/>
        <v>-4.1830065359477066E-2</v>
      </c>
      <c r="M20" s="25">
        <f>K20/L$17</f>
        <v>3.0299272486772489E-3</v>
      </c>
      <c r="N20" s="26">
        <f>M20/$T$6</f>
        <v>1.2468534633804464</v>
      </c>
      <c r="P20" s="42" t="s">
        <v>415</v>
      </c>
      <c r="Q20" t="s">
        <v>244</v>
      </c>
      <c r="R20" s="4">
        <v>2.0891203703703703E-2</v>
      </c>
      <c r="S20" s="5">
        <f t="shared" si="10"/>
        <v>-0.11519607843137253</v>
      </c>
      <c r="T20" s="25">
        <f>R20/S$17</f>
        <v>2.7131433381433383E-3</v>
      </c>
      <c r="U20" s="26">
        <f t="shared" si="11"/>
        <v>1.1164928693546847</v>
      </c>
      <c r="W20" t="s">
        <v>388</v>
      </c>
      <c r="X20" s="27">
        <v>0.12027777777777778</v>
      </c>
      <c r="Y20" s="27" t="s">
        <v>382</v>
      </c>
    </row>
    <row r="21" spans="2:25" x14ac:dyDescent="0.3">
      <c r="D21" s="3"/>
      <c r="E21" s="5"/>
      <c r="K21" s="3"/>
      <c r="L21" s="5"/>
      <c r="R21" s="3"/>
      <c r="S21" s="5"/>
      <c r="W21" t="s">
        <v>312</v>
      </c>
      <c r="X21" s="27">
        <v>0.12278935185185186</v>
      </c>
      <c r="Y21" s="27">
        <f>AVERAGE(X18:X22)</f>
        <v>0.11907407407407407</v>
      </c>
    </row>
    <row r="22" spans="2:25" x14ac:dyDescent="0.3">
      <c r="D22" s="3"/>
      <c r="E22" s="3"/>
      <c r="K22" s="3"/>
      <c r="L22" s="3"/>
      <c r="R22" s="3"/>
      <c r="S22" s="3"/>
      <c r="W22" t="s">
        <v>386</v>
      </c>
      <c r="X22" s="27">
        <v>0.12767361111111111</v>
      </c>
    </row>
    <row r="23" spans="2:25" x14ac:dyDescent="0.3">
      <c r="B23" s="1" t="s">
        <v>279</v>
      </c>
      <c r="D23" s="31">
        <f>G23*0.85</f>
        <v>1.1805555555555555E-2</v>
      </c>
      <c r="E23">
        <f>2.7+80*0.01</f>
        <v>3.5</v>
      </c>
      <c r="F23" s="33">
        <f>D23/E23</f>
        <v>3.3730158730158727E-3</v>
      </c>
      <c r="G23" s="23">
        <v>1.3888888888888888E-2</v>
      </c>
      <c r="I23" s="1" t="s">
        <v>236</v>
      </c>
      <c r="K23" s="31">
        <f>N23*0.85</f>
        <v>1.7708333333333333E-2</v>
      </c>
      <c r="L23">
        <f>4+120*0.01</f>
        <v>5.2</v>
      </c>
      <c r="M23" s="33">
        <f>K23/L23</f>
        <v>3.4054487179487176E-3</v>
      </c>
      <c r="N23" s="23">
        <v>2.0833333333333332E-2</v>
      </c>
      <c r="P23" s="1" t="s">
        <v>237</v>
      </c>
      <c r="R23" s="31">
        <f>U23*0.85</f>
        <v>2.361111111111111E-2</v>
      </c>
      <c r="S23">
        <f>5.6+200*0.01</f>
        <v>7.6</v>
      </c>
      <c r="T23" s="33">
        <f>R23/S23</f>
        <v>3.1067251461988307E-3</v>
      </c>
      <c r="U23" s="23">
        <v>2.7777777777777776E-2</v>
      </c>
      <c r="W23" s="1" t="s">
        <v>308</v>
      </c>
      <c r="Y23" s="32">
        <v>0.125</v>
      </c>
    </row>
    <row r="24" spans="2:25" x14ac:dyDescent="0.3">
      <c r="B24" s="42" t="s">
        <v>428</v>
      </c>
      <c r="C24" t="s">
        <v>262</v>
      </c>
      <c r="D24" s="4">
        <v>1.1412037037037037E-2</v>
      </c>
      <c r="E24" s="5">
        <f>(D24-D$5)/D$5</f>
        <v>-3.3333333333333354E-2</v>
      </c>
      <c r="F24" s="25">
        <f>D24/E$23</f>
        <v>3.2605820105820102E-3</v>
      </c>
      <c r="G24" s="26">
        <f>F24/$T$6</f>
        <v>1.3417708211657517</v>
      </c>
      <c r="I24" s="42" t="s">
        <v>425</v>
      </c>
      <c r="J24" t="s">
        <v>241</v>
      </c>
      <c r="K24" s="4">
        <v>1.4733796296296297E-2</v>
      </c>
      <c r="L24" s="5">
        <f>(K24-K$5)/K$5</f>
        <v>-0.16797385620915026</v>
      </c>
      <c r="M24" s="25">
        <f>K24/L$23</f>
        <v>2.8334223646723647E-3</v>
      </c>
      <c r="N24" s="26">
        <f>M24/$T$6</f>
        <v>1.1659892131580605</v>
      </c>
      <c r="P24" s="42" t="s">
        <v>422</v>
      </c>
      <c r="Q24" t="s">
        <v>262</v>
      </c>
      <c r="R24" s="4">
        <v>2.0729166666666667E-2</v>
      </c>
      <c r="S24" s="5">
        <f>(R24-R$11)/R$11</f>
        <v>-0.12205882352941175</v>
      </c>
      <c r="T24" s="25">
        <f>R24/S$23</f>
        <v>2.7275219298245616E-3</v>
      </c>
      <c r="U24" s="26">
        <f>T24/$T$6</f>
        <v>1.1224098420622286</v>
      </c>
      <c r="W24" t="s">
        <v>386</v>
      </c>
      <c r="X24" s="28">
        <v>0.11767361111111112</v>
      </c>
      <c r="Y24" s="27">
        <f>ABS(X24-Y23)</f>
        <v>7.3263888888888823E-3</v>
      </c>
    </row>
    <row r="25" spans="2:25" x14ac:dyDescent="0.3">
      <c r="B25" s="42" t="s">
        <v>429</v>
      </c>
      <c r="C25" t="s">
        <v>256</v>
      </c>
      <c r="D25" s="4">
        <v>1.2094907407407407E-2</v>
      </c>
      <c r="E25" s="5">
        <f t="shared" ref="E25:E26" si="12">(D25-D$5)/D$5</f>
        <v>2.4509803921568589E-2</v>
      </c>
      <c r="F25" s="25">
        <f>D25/E$23</f>
        <v>3.4556878306878304E-3</v>
      </c>
      <c r="G25" s="26">
        <f>F25/$T$6</f>
        <v>1.4220593388622824</v>
      </c>
      <c r="I25" s="42" t="s">
        <v>426</v>
      </c>
      <c r="J25" t="s">
        <v>262</v>
      </c>
      <c r="K25" s="4">
        <v>1.4930555555555556E-2</v>
      </c>
      <c r="L25" s="5">
        <f t="shared" ref="L25:L26" si="13">(K25-K$5)/K$5</f>
        <v>-0.15686274509803916</v>
      </c>
      <c r="M25" s="25">
        <f>K25/L$23</f>
        <v>2.871260683760684E-3</v>
      </c>
      <c r="N25" s="26">
        <f>M25/$T$6</f>
        <v>1.1815601610164164</v>
      </c>
      <c r="P25" s="42" t="s">
        <v>423</v>
      </c>
      <c r="Q25" t="s">
        <v>241</v>
      </c>
      <c r="R25" s="4">
        <v>2.2650462962962963E-2</v>
      </c>
      <c r="S25" s="5">
        <f t="shared" ref="S25:S26" si="14">(R25-R$11)/R$11</f>
        <v>-4.0686274509803916E-2</v>
      </c>
      <c r="T25" s="25">
        <f>R25/S$23</f>
        <v>2.980324074074074E-3</v>
      </c>
      <c r="U25" s="26">
        <f t="shared" ref="U25:U26" si="15">T25/$T$6</f>
        <v>1.2264411283728538</v>
      </c>
      <c r="W25" t="s">
        <v>388</v>
      </c>
      <c r="X25" s="27">
        <v>0.11815972222222222</v>
      </c>
      <c r="Y25" s="5">
        <f>(X24-Y23)/Y23</f>
        <v>-5.8611111111111058E-2</v>
      </c>
    </row>
    <row r="26" spans="2:25" x14ac:dyDescent="0.3">
      <c r="B26" s="42" t="s">
        <v>430</v>
      </c>
      <c r="C26" t="s">
        <v>262</v>
      </c>
      <c r="D26" s="4">
        <v>1.21875E-2</v>
      </c>
      <c r="E26" s="5">
        <f t="shared" si="12"/>
        <v>3.2352941176470654E-2</v>
      </c>
      <c r="F26" s="25">
        <f>D26/E$23</f>
        <v>3.4821428571428573E-3</v>
      </c>
      <c r="G26" s="26">
        <f>F26/$T$6</f>
        <v>1.4329459175329986</v>
      </c>
      <c r="I26" s="42" t="s">
        <v>427</v>
      </c>
      <c r="J26" t="s">
        <v>244</v>
      </c>
      <c r="K26" s="4">
        <v>1.5856481481481482E-2</v>
      </c>
      <c r="L26" s="5">
        <f t="shared" si="13"/>
        <v>-0.10457516339869277</v>
      </c>
      <c r="M26" s="25">
        <f>K26/L$23</f>
        <v>3.0493233618233617E-3</v>
      </c>
      <c r="N26" s="26">
        <f>M26/$T$6</f>
        <v>1.2548352097616202</v>
      </c>
      <c r="P26" s="42" t="s">
        <v>424</v>
      </c>
      <c r="Q26" t="s">
        <v>253</v>
      </c>
      <c r="R26" s="4">
        <v>2.3842592592592592E-2</v>
      </c>
      <c r="S26" s="5">
        <f t="shared" si="14"/>
        <v>9.8039215686274647E-3</v>
      </c>
      <c r="T26" s="25">
        <f>R26/S$23</f>
        <v>3.1371832358674467E-3</v>
      </c>
      <c r="U26" s="26">
        <f t="shared" si="15"/>
        <v>1.2909906614451092</v>
      </c>
      <c r="W26" t="s">
        <v>389</v>
      </c>
      <c r="X26" s="27">
        <v>0.11886574074074074</v>
      </c>
      <c r="Y26" s="27" t="s">
        <v>382</v>
      </c>
    </row>
    <row r="27" spans="2:25" x14ac:dyDescent="0.3">
      <c r="W27" t="s">
        <v>390</v>
      </c>
      <c r="X27" s="27">
        <v>0.12077546296296296</v>
      </c>
      <c r="Y27" s="27">
        <f>AVERAGE(X24:X28)</f>
        <v>0.11973379629629628</v>
      </c>
    </row>
    <row r="28" spans="2:25" x14ac:dyDescent="0.3">
      <c r="I28" s="34"/>
      <c r="P28" s="34"/>
      <c r="W28" t="s">
        <v>313</v>
      </c>
      <c r="X28" s="27">
        <v>0.12319444444444444</v>
      </c>
    </row>
    <row r="29" spans="2:25" x14ac:dyDescent="0.3">
      <c r="I29" s="34"/>
      <c r="P29" s="34"/>
    </row>
    <row r="30" spans="2:25" x14ac:dyDescent="0.3">
      <c r="I30" s="34"/>
      <c r="P30" s="34"/>
    </row>
    <row r="31" spans="2:25" x14ac:dyDescent="0.3">
      <c r="I31" s="34"/>
      <c r="P31" s="34"/>
    </row>
    <row r="32" spans="2:25" x14ac:dyDescent="0.3">
      <c r="B32" s="35"/>
    </row>
  </sheetData>
  <conditionalFormatting sqref="E6:E8 E12:E14 E18:E20 E24:E26">
    <cfRule type="cellIs" dxfId="41" priority="41" operator="between">
      <formula>-0.15</formula>
      <formula>-0.05</formula>
    </cfRule>
    <cfRule type="cellIs" dxfId="40" priority="40" operator="between">
      <formula>-0.05</formula>
      <formula>0.05</formula>
    </cfRule>
    <cfRule type="cellIs" dxfId="39" priority="39" operator="between">
      <formula>0.05</formula>
      <formula>0.15</formula>
    </cfRule>
    <cfRule type="cellIs" dxfId="38" priority="38" operator="between">
      <formula>0.15</formula>
      <formula>0.25</formula>
    </cfRule>
    <cfRule type="cellIs" dxfId="37" priority="42" operator="lessThanOrEqual">
      <formula>-0.15</formula>
    </cfRule>
    <cfRule type="cellIs" dxfId="36" priority="37" operator="greaterThanOrEqual">
      <formula>0.25</formula>
    </cfRule>
  </conditionalFormatting>
  <conditionalFormatting sqref="L6:L8 L12:L14 L18:L20 L24:L26">
    <cfRule type="cellIs" dxfId="35" priority="32" operator="between">
      <formula>0.15</formula>
      <formula>0.25</formula>
    </cfRule>
    <cfRule type="cellIs" dxfId="34" priority="36" operator="lessThanOrEqual">
      <formula>-0.15</formula>
    </cfRule>
    <cfRule type="cellIs" dxfId="33" priority="35" operator="between">
      <formula>-0.15</formula>
      <formula>-0.05</formula>
    </cfRule>
    <cfRule type="cellIs" dxfId="32" priority="34" operator="between">
      <formula>-0.05</formula>
      <formula>0.05</formula>
    </cfRule>
    <cfRule type="cellIs" dxfId="31" priority="33" operator="between">
      <formula>0.05</formula>
      <formula>0.15</formula>
    </cfRule>
    <cfRule type="cellIs" dxfId="30" priority="31" operator="greaterThanOrEqual">
      <formula>0.25</formula>
    </cfRule>
  </conditionalFormatting>
  <conditionalFormatting sqref="S6:S8 S12:S14 S18:S20 S24:S26">
    <cfRule type="cellIs" dxfId="29" priority="30" operator="lessThanOrEqual">
      <formula>-0.15</formula>
    </cfRule>
    <cfRule type="cellIs" dxfId="28" priority="29" operator="between">
      <formula>-0.15</formula>
      <formula>-0.05</formula>
    </cfRule>
    <cfRule type="cellIs" dxfId="27" priority="28" operator="between">
      <formula>-0.05</formula>
      <formula>0.05</formula>
    </cfRule>
    <cfRule type="cellIs" dxfId="26" priority="26" operator="between">
      <formula>0.15</formula>
      <formula>0.25</formula>
    </cfRule>
    <cfRule type="cellIs" dxfId="25" priority="27" operator="between">
      <formula>0.05</formula>
      <formula>0.15</formula>
    </cfRule>
    <cfRule type="cellIs" dxfId="24" priority="25" operator="greaterThanOrEqual">
      <formula>0.25</formula>
    </cfRule>
  </conditionalFormatting>
  <conditionalFormatting sqref="Y7">
    <cfRule type="cellIs" dxfId="23" priority="19" operator="greaterThanOrEqual">
      <formula>0.25</formula>
    </cfRule>
    <cfRule type="cellIs" dxfId="22" priority="20" operator="between">
      <formula>0.15</formula>
      <formula>0.25</formula>
    </cfRule>
    <cfRule type="cellIs" dxfId="21" priority="21" operator="between">
      <formula>0.05</formula>
      <formula>0.15</formula>
    </cfRule>
    <cfRule type="cellIs" dxfId="20" priority="22" operator="between">
      <formula>-0.05</formula>
      <formula>0.05</formula>
    </cfRule>
    <cfRule type="cellIs" dxfId="19" priority="23" operator="between">
      <formula>-0.15</formula>
      <formula>-0.05</formula>
    </cfRule>
    <cfRule type="cellIs" dxfId="18" priority="24" operator="lessThanOrEqual">
      <formula>-0.15</formula>
    </cfRule>
  </conditionalFormatting>
  <conditionalFormatting sqref="Y13">
    <cfRule type="cellIs" dxfId="17" priority="18" operator="lessThanOrEqual">
      <formula>-0.15</formula>
    </cfRule>
    <cfRule type="cellIs" dxfId="16" priority="16" operator="between">
      <formula>-0.05</formula>
      <formula>0.05</formula>
    </cfRule>
    <cfRule type="cellIs" dxfId="15" priority="17" operator="between">
      <formula>-0.15</formula>
      <formula>-0.05</formula>
    </cfRule>
    <cfRule type="cellIs" dxfId="14" priority="15" operator="between">
      <formula>0.05</formula>
      <formula>0.15</formula>
    </cfRule>
    <cfRule type="cellIs" dxfId="13" priority="14" operator="between">
      <formula>0.15</formula>
      <formula>0.25</formula>
    </cfRule>
    <cfRule type="cellIs" dxfId="12" priority="13" operator="greaterThanOrEqual">
      <formula>0.25</formula>
    </cfRule>
  </conditionalFormatting>
  <conditionalFormatting sqref="Y19">
    <cfRule type="cellIs" dxfId="11" priority="12" operator="lessThanOrEqual">
      <formula>-0.15</formula>
    </cfRule>
    <cfRule type="cellIs" dxfId="10" priority="10" operator="between">
      <formula>-0.05</formula>
      <formula>0.05</formula>
    </cfRule>
    <cfRule type="cellIs" dxfId="9" priority="9" operator="between">
      <formula>0.05</formula>
      <formula>0.15</formula>
    </cfRule>
    <cfRule type="cellIs" dxfId="8" priority="8" operator="between">
      <formula>0.15</formula>
      <formula>0.25</formula>
    </cfRule>
    <cfRule type="cellIs" dxfId="7" priority="7" operator="greaterThanOrEqual">
      <formula>0.25</formula>
    </cfRule>
    <cfRule type="cellIs" dxfId="6" priority="11" operator="between">
      <formula>-0.15</formula>
      <formula>-0.05</formula>
    </cfRule>
  </conditionalFormatting>
  <conditionalFormatting sqref="Y25">
    <cfRule type="cellIs" dxfId="5" priority="6" operator="lessThanOrEqual">
      <formula>-0.15</formula>
    </cfRule>
    <cfRule type="cellIs" dxfId="4" priority="1" operator="greaterThanOrEqual">
      <formula>0.25</formula>
    </cfRule>
    <cfRule type="cellIs" dxfId="3" priority="5" operator="between">
      <formula>-0.15</formula>
      <formula>-0.05</formula>
    </cfRule>
    <cfRule type="cellIs" dxfId="2" priority="4" operator="between">
      <formula>-0.05</formula>
      <formula>0.05</formula>
    </cfRule>
    <cfRule type="cellIs" dxfId="1" priority="3" operator="between">
      <formula>0.05</formula>
      <formula>0.15</formula>
    </cfRule>
    <cfRule type="cellIs" dxfId="0" priority="2" operator="between">
      <formula>0.15</formula>
      <formula>0.25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8"/>
  <sheetViews>
    <sheetView workbookViewId="0"/>
  </sheetViews>
  <sheetFormatPr baseColWidth="10" defaultColWidth="9.109375" defaultRowHeight="14.4" x14ac:dyDescent="0.3"/>
  <cols>
    <col min="1" max="1" width="1.44140625" customWidth="1"/>
    <col min="2" max="2" width="23.6640625" bestFit="1" customWidth="1"/>
    <col min="3" max="4" width="9.109375" style="3"/>
    <col min="6" max="6" width="22.33203125" bestFit="1" customWidth="1"/>
    <col min="7" max="8" width="9.109375" style="3"/>
    <col min="10" max="10" width="25.33203125" bestFit="1" customWidth="1"/>
    <col min="11" max="12" width="9.109375" style="3"/>
  </cols>
  <sheetData>
    <row r="1" spans="2:12" ht="7.5" customHeight="1" x14ac:dyDescent="0.3"/>
    <row r="2" spans="2:12" x14ac:dyDescent="0.3">
      <c r="B2" s="2" t="s">
        <v>0</v>
      </c>
    </row>
    <row r="3" spans="2:12" ht="7.5" customHeight="1" x14ac:dyDescent="0.3"/>
    <row r="4" spans="2:12" x14ac:dyDescent="0.3">
      <c r="B4" s="1" t="s">
        <v>1</v>
      </c>
      <c r="C4" s="7">
        <f>B15*0.85</f>
        <v>1.1805555555555555E-2</v>
      </c>
      <c r="F4" s="1" t="s">
        <v>12</v>
      </c>
      <c r="G4" s="7">
        <f>F15*0.85</f>
        <v>1.7708333333333333E-2</v>
      </c>
      <c r="J4" s="1" t="s">
        <v>13</v>
      </c>
      <c r="K4" s="7">
        <f>J15*0.85</f>
        <v>2.9513888888888888E-2</v>
      </c>
    </row>
    <row r="5" spans="2:12" x14ac:dyDescent="0.3">
      <c r="B5" t="s">
        <v>2</v>
      </c>
      <c r="C5" s="4">
        <v>1.3252314814814814E-2</v>
      </c>
      <c r="D5" s="5">
        <f>(C5-B$15)/B$15</f>
        <v>-4.5833333333333337E-2</v>
      </c>
      <c r="F5" t="s">
        <v>14</v>
      </c>
      <c r="G5" s="4">
        <v>1.8564814814814815E-2</v>
      </c>
      <c r="H5" s="5">
        <f>(G5-F$15)/F$15</f>
        <v>-0.10888888888888881</v>
      </c>
      <c r="J5" t="s">
        <v>24</v>
      </c>
      <c r="K5" s="4">
        <v>2.5578703703703704E-2</v>
      </c>
      <c r="L5" s="5">
        <f>(K5-J$15)/J$15</f>
        <v>-0.26333333333333336</v>
      </c>
    </row>
    <row r="6" spans="2:12" x14ac:dyDescent="0.3">
      <c r="B6" t="s">
        <v>3</v>
      </c>
      <c r="C6" s="4">
        <v>1.3333333333333334E-2</v>
      </c>
      <c r="D6" s="5">
        <f t="shared" ref="D6:D14" si="0">(C6-B$15)/B$15</f>
        <v>-3.9999999999999883E-2</v>
      </c>
      <c r="F6" t="s">
        <v>15</v>
      </c>
      <c r="G6" s="4">
        <v>1.9375E-2</v>
      </c>
      <c r="H6" s="5">
        <f t="shared" ref="H6:H14" si="1">(G6-F$15)/F$15</f>
        <v>-6.9999999999999951E-2</v>
      </c>
      <c r="J6" t="s">
        <v>25</v>
      </c>
      <c r="K6" s="4">
        <v>2.7708333333333331E-2</v>
      </c>
      <c r="L6" s="5">
        <f t="shared" ref="L6:L14" si="2">(K6-J$15)/J$15</f>
        <v>-0.2020000000000001</v>
      </c>
    </row>
    <row r="7" spans="2:12" x14ac:dyDescent="0.3">
      <c r="B7" t="s">
        <v>4</v>
      </c>
      <c r="C7" s="4">
        <v>1.3807870370370371E-2</v>
      </c>
      <c r="D7" s="5">
        <f t="shared" si="0"/>
        <v>-5.8333333333332044E-3</v>
      </c>
      <c r="F7" t="s">
        <v>16</v>
      </c>
      <c r="G7" s="4">
        <v>1.9479166666666669E-2</v>
      </c>
      <c r="H7" s="5">
        <f t="shared" si="1"/>
        <v>-6.4999999999999836E-2</v>
      </c>
      <c r="J7" t="s">
        <v>26</v>
      </c>
      <c r="K7" s="4">
        <v>2.97337962962963E-2</v>
      </c>
      <c r="L7" s="5">
        <f t="shared" si="2"/>
        <v>-0.14366666666666661</v>
      </c>
    </row>
    <row r="8" spans="2:12" x14ac:dyDescent="0.3">
      <c r="B8" t="s">
        <v>5</v>
      </c>
      <c r="C8" s="4">
        <v>1.3819444444444445E-2</v>
      </c>
      <c r="D8" s="5">
        <f t="shared" si="0"/>
        <v>-4.9999999999999073E-3</v>
      </c>
      <c r="F8" t="s">
        <v>17</v>
      </c>
      <c r="G8" s="4">
        <v>2.0254629629629629E-2</v>
      </c>
      <c r="H8" s="5">
        <f t="shared" si="1"/>
        <v>-2.7777777777777735E-2</v>
      </c>
      <c r="J8" t="s">
        <v>27</v>
      </c>
      <c r="K8" s="4">
        <v>2.9768518518518517E-2</v>
      </c>
      <c r="L8" s="5">
        <f t="shared" si="2"/>
        <v>-0.14266666666666675</v>
      </c>
    </row>
    <row r="9" spans="2:12" x14ac:dyDescent="0.3">
      <c r="B9" t="s">
        <v>6</v>
      </c>
      <c r="C9" s="4">
        <v>1.4386574074074072E-2</v>
      </c>
      <c r="D9" s="5">
        <f t="shared" si="0"/>
        <v>3.5833333333333273E-2</v>
      </c>
      <c r="F9" t="s">
        <v>18</v>
      </c>
      <c r="G9" s="4">
        <v>2.045138888888889E-2</v>
      </c>
      <c r="H9" s="5">
        <f t="shared" si="1"/>
        <v>-1.8333333333333202E-2</v>
      </c>
      <c r="J9" t="s">
        <v>28</v>
      </c>
      <c r="K9" s="4">
        <v>3.0138888888888885E-2</v>
      </c>
      <c r="L9" s="5">
        <f t="shared" si="2"/>
        <v>-0.13200000000000014</v>
      </c>
    </row>
    <row r="10" spans="2:12" x14ac:dyDescent="0.3">
      <c r="B10" t="s">
        <v>7</v>
      </c>
      <c r="C10" s="4">
        <v>1.4456018518518519E-2</v>
      </c>
      <c r="D10" s="5">
        <f t="shared" si="0"/>
        <v>4.083333333333343E-2</v>
      </c>
      <c r="F10" t="s">
        <v>19</v>
      </c>
      <c r="G10" s="4">
        <v>2.0497685185185185E-2</v>
      </c>
      <c r="H10" s="5">
        <f t="shared" si="1"/>
        <v>-1.6111111111111076E-2</v>
      </c>
      <c r="J10" t="s">
        <v>29</v>
      </c>
      <c r="K10" s="4">
        <v>3.0624999999999999E-2</v>
      </c>
      <c r="L10" s="5">
        <f t="shared" si="2"/>
        <v>-0.11800000000000005</v>
      </c>
    </row>
    <row r="11" spans="2:12" x14ac:dyDescent="0.3">
      <c r="B11" t="s">
        <v>8</v>
      </c>
      <c r="C11" s="4">
        <v>1.4490740740740742E-2</v>
      </c>
      <c r="D11" s="5">
        <f t="shared" si="0"/>
        <v>4.3333333333333446E-2</v>
      </c>
      <c r="F11" t="s">
        <v>20</v>
      </c>
      <c r="G11" s="4">
        <v>2.0763888888888887E-2</v>
      </c>
      <c r="H11" s="5">
        <f t="shared" si="1"/>
        <v>-3.3333333333333548E-3</v>
      </c>
      <c r="J11" t="s">
        <v>30</v>
      </c>
      <c r="K11" s="4">
        <v>3.0624999999999999E-2</v>
      </c>
      <c r="L11" s="5">
        <f t="shared" si="2"/>
        <v>-0.11800000000000005</v>
      </c>
    </row>
    <row r="12" spans="2:12" x14ac:dyDescent="0.3">
      <c r="B12" t="s">
        <v>9</v>
      </c>
      <c r="C12" s="4">
        <v>1.4525462962962964E-2</v>
      </c>
      <c r="D12" s="5">
        <f t="shared" si="0"/>
        <v>4.5833333333333462E-2</v>
      </c>
      <c r="F12" t="s">
        <v>21</v>
      </c>
      <c r="G12" s="4">
        <v>2.0902777777777781E-2</v>
      </c>
      <c r="H12" s="5">
        <f t="shared" si="1"/>
        <v>3.3333333333335213E-3</v>
      </c>
      <c r="J12" t="s">
        <v>31</v>
      </c>
      <c r="K12" s="4">
        <v>3.079861111111111E-2</v>
      </c>
      <c r="L12" s="5">
        <f t="shared" si="2"/>
        <v>-0.11300000000000007</v>
      </c>
    </row>
    <row r="13" spans="2:12" x14ac:dyDescent="0.3">
      <c r="B13" t="s">
        <v>10</v>
      </c>
      <c r="C13" s="4">
        <v>1.4641203703703703E-2</v>
      </c>
      <c r="D13" s="5">
        <f t="shared" si="0"/>
        <v>5.4166666666666682E-2</v>
      </c>
      <c r="F13" t="s">
        <v>22</v>
      </c>
      <c r="G13" s="4">
        <v>2.1053240740740744E-2</v>
      </c>
      <c r="H13" s="5">
        <f t="shared" si="1"/>
        <v>1.0555555555555762E-2</v>
      </c>
      <c r="J13" t="s">
        <v>32</v>
      </c>
      <c r="K13" s="4">
        <v>3.1134259259259261E-2</v>
      </c>
      <c r="L13" s="5">
        <f t="shared" si="2"/>
        <v>-0.10333333333333333</v>
      </c>
    </row>
    <row r="14" spans="2:12" x14ac:dyDescent="0.3">
      <c r="B14" t="s">
        <v>11</v>
      </c>
      <c r="C14" s="4">
        <v>1.4687499999999999E-2</v>
      </c>
      <c r="D14" s="5">
        <f t="shared" si="0"/>
        <v>5.7499999999999996E-2</v>
      </c>
      <c r="F14" t="s">
        <v>23</v>
      </c>
      <c r="G14" s="4">
        <v>2.1111111111111108E-2</v>
      </c>
      <c r="H14" s="5">
        <f t="shared" si="1"/>
        <v>1.3333333333333253E-2</v>
      </c>
      <c r="J14" t="s">
        <v>33</v>
      </c>
      <c r="K14" s="4">
        <v>3.123842592592593E-2</v>
      </c>
      <c r="L14" s="5">
        <f t="shared" si="2"/>
        <v>-0.10033333333333326</v>
      </c>
    </row>
    <row r="15" spans="2:12" x14ac:dyDescent="0.3">
      <c r="B15" s="6">
        <v>1.3888888888888888E-2</v>
      </c>
      <c r="D15"/>
      <c r="F15" s="6">
        <v>2.0833333333333332E-2</v>
      </c>
      <c r="H15"/>
      <c r="J15" s="6">
        <v>3.4722222222222224E-2</v>
      </c>
      <c r="L15"/>
    </row>
    <row r="16" spans="2:12" ht="7.5" customHeight="1" x14ac:dyDescent="0.3">
      <c r="D16"/>
      <c r="H16"/>
      <c r="L16"/>
    </row>
    <row r="17" spans="2:12" x14ac:dyDescent="0.3">
      <c r="B17" s="1" t="s">
        <v>34</v>
      </c>
      <c r="C17" s="7">
        <f>B28*0.85</f>
        <v>1.1805555555555555E-2</v>
      </c>
      <c r="D17"/>
      <c r="F17" s="1" t="s">
        <v>35</v>
      </c>
      <c r="G17" s="7">
        <f>F28*0.85</f>
        <v>1.7708333333333333E-2</v>
      </c>
      <c r="H17"/>
      <c r="J17" s="1" t="s">
        <v>36</v>
      </c>
      <c r="K17" s="7">
        <f>J28*0.85</f>
        <v>2.361111111111111E-2</v>
      </c>
      <c r="L17"/>
    </row>
    <row r="18" spans="2:12" x14ac:dyDescent="0.3">
      <c r="B18" t="s">
        <v>57</v>
      </c>
      <c r="C18" s="4">
        <v>1.2731481481481481E-2</v>
      </c>
      <c r="D18" s="5">
        <f>(C18-B$28)/B$28</f>
        <v>-8.3333333333333329E-2</v>
      </c>
      <c r="F18" t="s">
        <v>48</v>
      </c>
      <c r="G18" s="4">
        <v>1.7812499999999998E-2</v>
      </c>
      <c r="H18" s="5">
        <f>(G18-F$28)/F$28</f>
        <v>-0.14500000000000002</v>
      </c>
      <c r="J18" t="s">
        <v>37</v>
      </c>
      <c r="K18" s="4">
        <v>2.1550925925925928E-2</v>
      </c>
      <c r="L18" s="5">
        <f>(K18-J$28)/J$28</f>
        <v>-0.22416666666666654</v>
      </c>
    </row>
    <row r="19" spans="2:12" x14ac:dyDescent="0.3">
      <c r="B19" t="s">
        <v>58</v>
      </c>
      <c r="C19" s="4">
        <v>1.2893518518518519E-2</v>
      </c>
      <c r="D19" s="5">
        <f t="shared" ref="D19:D27" si="3">(C19-B$28)/B$28</f>
        <v>-7.1666666666666545E-2</v>
      </c>
      <c r="F19" t="s">
        <v>47</v>
      </c>
      <c r="G19" s="4">
        <v>2.0092592592592592E-2</v>
      </c>
      <c r="H19" s="5">
        <f t="shared" ref="H19:H27" si="4">(G19-F$28)/F$28</f>
        <v>-3.5555555555555507E-2</v>
      </c>
      <c r="J19" t="s">
        <v>38</v>
      </c>
      <c r="K19" s="4">
        <v>2.2361111111111113E-2</v>
      </c>
      <c r="L19" s="5">
        <f t="shared" ref="L19:L27" si="5">(K19-J$28)/J$28</f>
        <v>-0.1949999999999999</v>
      </c>
    </row>
    <row r="20" spans="2:12" x14ac:dyDescent="0.3">
      <c r="B20" t="s">
        <v>59</v>
      </c>
      <c r="C20" s="4">
        <v>1.306712962962963E-2</v>
      </c>
      <c r="D20" s="5">
        <f t="shared" si="3"/>
        <v>-5.916666666666659E-2</v>
      </c>
      <c r="F20" t="s">
        <v>49</v>
      </c>
      <c r="G20" s="4">
        <v>2.0879629629629626E-2</v>
      </c>
      <c r="H20" s="5">
        <f t="shared" si="4"/>
        <v>2.2222222222221255E-3</v>
      </c>
      <c r="J20" t="s">
        <v>39</v>
      </c>
      <c r="K20" s="4">
        <v>2.2835648148148147E-2</v>
      </c>
      <c r="L20" s="5">
        <f t="shared" si="5"/>
        <v>-0.17791666666666667</v>
      </c>
    </row>
    <row r="21" spans="2:12" x14ac:dyDescent="0.3">
      <c r="B21" t="s">
        <v>60</v>
      </c>
      <c r="C21" s="4">
        <v>1.3425925925925924E-2</v>
      </c>
      <c r="D21" s="5">
        <f t="shared" si="3"/>
        <v>-3.3333333333333381E-2</v>
      </c>
      <c r="F21" t="s">
        <v>50</v>
      </c>
      <c r="G21" s="4">
        <v>2.0937499999999998E-2</v>
      </c>
      <c r="H21" s="5">
        <f t="shared" si="4"/>
        <v>4.9999999999999489E-3</v>
      </c>
      <c r="J21" t="s">
        <v>40</v>
      </c>
      <c r="K21" s="4">
        <v>2.4039351851851853E-2</v>
      </c>
      <c r="L21" s="5">
        <f t="shared" si="5"/>
        <v>-0.13458333333333322</v>
      </c>
    </row>
    <row r="22" spans="2:12" x14ac:dyDescent="0.3">
      <c r="B22" t="s">
        <v>61</v>
      </c>
      <c r="C22" s="4">
        <v>1.3935185185185184E-2</v>
      </c>
      <c r="D22" s="5">
        <f t="shared" si="3"/>
        <v>3.3333333333333132E-3</v>
      </c>
      <c r="F22" t="s">
        <v>51</v>
      </c>
      <c r="G22" s="4">
        <v>2.1527777777777781E-2</v>
      </c>
      <c r="H22" s="5">
        <f t="shared" si="4"/>
        <v>3.3333333333333548E-2</v>
      </c>
      <c r="J22" t="s">
        <v>41</v>
      </c>
      <c r="K22" s="4">
        <v>2.4305555555555556E-2</v>
      </c>
      <c r="L22" s="5">
        <f t="shared" si="5"/>
        <v>-0.12499999999999994</v>
      </c>
    </row>
    <row r="23" spans="2:12" x14ac:dyDescent="0.3">
      <c r="B23" t="s">
        <v>62</v>
      </c>
      <c r="C23" s="4">
        <v>1.4814814814814814E-2</v>
      </c>
      <c r="D23" s="5">
        <f t="shared" si="3"/>
        <v>6.6666666666666638E-2</v>
      </c>
      <c r="F23" t="s">
        <v>52</v>
      </c>
      <c r="G23" s="4">
        <v>2.1886574074074072E-2</v>
      </c>
      <c r="H23" s="5">
        <f t="shared" si="4"/>
        <v>5.055555555555552E-2</v>
      </c>
      <c r="J23" t="s">
        <v>42</v>
      </c>
      <c r="K23" s="4">
        <v>2.4363425925925927E-2</v>
      </c>
      <c r="L23" s="5">
        <f t="shared" si="5"/>
        <v>-0.12291666666666656</v>
      </c>
    </row>
    <row r="24" spans="2:12" x14ac:dyDescent="0.3">
      <c r="B24" t="s">
        <v>63</v>
      </c>
      <c r="C24" s="4">
        <v>1.4849537037037036E-2</v>
      </c>
      <c r="D24" s="5">
        <f t="shared" si="3"/>
        <v>6.9166666666666654E-2</v>
      </c>
      <c r="F24" t="s">
        <v>53</v>
      </c>
      <c r="G24" s="4">
        <v>2.207175925925926E-2</v>
      </c>
      <c r="H24" s="5">
        <f t="shared" si="4"/>
        <v>5.9444444444444522E-2</v>
      </c>
      <c r="J24" t="s">
        <v>43</v>
      </c>
      <c r="K24" s="4">
        <v>2.4479166666666666E-2</v>
      </c>
      <c r="L24" s="5">
        <f t="shared" si="5"/>
        <v>-0.11874999999999995</v>
      </c>
    </row>
    <row r="25" spans="2:12" x14ac:dyDescent="0.3">
      <c r="B25" t="s">
        <v>64</v>
      </c>
      <c r="C25" s="4">
        <v>1.4976851851851852E-2</v>
      </c>
      <c r="D25" s="5">
        <f t="shared" si="3"/>
        <v>7.8333333333333421E-2</v>
      </c>
      <c r="F25" t="s">
        <v>54</v>
      </c>
      <c r="G25" s="4">
        <v>2.2164351851851852E-2</v>
      </c>
      <c r="H25" s="5">
        <f t="shared" si="4"/>
        <v>6.3888888888888939E-2</v>
      </c>
      <c r="J25" t="s">
        <v>44</v>
      </c>
      <c r="K25" s="4">
        <v>2.4699074074074078E-2</v>
      </c>
      <c r="L25" s="5">
        <f t="shared" si="5"/>
        <v>-0.11083333333333313</v>
      </c>
    </row>
    <row r="26" spans="2:12" x14ac:dyDescent="0.3">
      <c r="B26" t="s">
        <v>65</v>
      </c>
      <c r="C26" s="4">
        <v>1.5057870370370369E-2</v>
      </c>
      <c r="D26" s="5">
        <f t="shared" si="3"/>
        <v>8.4166666666666626E-2</v>
      </c>
      <c r="F26" t="s">
        <v>55</v>
      </c>
      <c r="G26" s="4">
        <v>2.2199074074074076E-2</v>
      </c>
      <c r="H26" s="5">
        <f t="shared" si="4"/>
        <v>6.55555555555557E-2</v>
      </c>
      <c r="J26" t="s">
        <v>45</v>
      </c>
      <c r="K26" s="4">
        <v>2.5555555555555554E-2</v>
      </c>
      <c r="L26" s="5">
        <f t="shared" si="5"/>
        <v>-8.0000000000000016E-2</v>
      </c>
    </row>
    <row r="27" spans="2:12" x14ac:dyDescent="0.3">
      <c r="B27" t="s">
        <v>66</v>
      </c>
      <c r="C27" s="4">
        <v>1.511574074074074E-2</v>
      </c>
      <c r="D27" s="5">
        <f t="shared" si="3"/>
        <v>8.8333333333333361E-2</v>
      </c>
      <c r="F27" t="s">
        <v>56</v>
      </c>
      <c r="G27" s="4">
        <v>2.2314814814814815E-2</v>
      </c>
      <c r="H27" s="5">
        <f t="shared" si="4"/>
        <v>7.111111111111118E-2</v>
      </c>
      <c r="J27" t="s">
        <v>46</v>
      </c>
      <c r="K27" s="4">
        <v>2.5729166666666664E-2</v>
      </c>
      <c r="L27" s="5">
        <f t="shared" si="5"/>
        <v>-7.3750000000000038E-2</v>
      </c>
    </row>
    <row r="28" spans="2:12" x14ac:dyDescent="0.3">
      <c r="B28" s="6">
        <v>1.3888888888888888E-2</v>
      </c>
      <c r="D28" s="5"/>
      <c r="F28" s="6">
        <v>2.0833333333333332E-2</v>
      </c>
      <c r="H28" s="5"/>
      <c r="J28" s="6">
        <v>2.7777777777777776E-2</v>
      </c>
      <c r="L28" s="5"/>
    </row>
  </sheetData>
  <conditionalFormatting sqref="D5:D14 D18:D27">
    <cfRule type="cellIs" dxfId="263" priority="13" operator="greaterThanOrEqual">
      <formula>0.25</formula>
    </cfRule>
    <cfRule type="cellIs" dxfId="262" priority="14" operator="between">
      <formula>0.15</formula>
      <formula>0.25</formula>
    </cfRule>
    <cfRule type="cellIs" dxfId="261" priority="15" operator="between">
      <formula>0.05</formula>
      <formula>0.15</formula>
    </cfRule>
    <cfRule type="cellIs" dxfId="260" priority="16" operator="between">
      <formula>-0.05</formula>
      <formula>0.05</formula>
    </cfRule>
    <cfRule type="cellIs" dxfId="259" priority="17" operator="between">
      <formula>-0.15</formula>
      <formula>-0.05</formula>
    </cfRule>
    <cfRule type="cellIs" dxfId="258" priority="18" operator="lessThanOrEqual">
      <formula>-0.15</formula>
    </cfRule>
  </conditionalFormatting>
  <conditionalFormatting sqref="H5:H14 H18:H27">
    <cfRule type="cellIs" dxfId="257" priority="7" operator="greaterThanOrEqual">
      <formula>0.25</formula>
    </cfRule>
    <cfRule type="cellIs" dxfId="256" priority="8" operator="between">
      <formula>0.15</formula>
      <formula>0.25</formula>
    </cfRule>
    <cfRule type="cellIs" dxfId="255" priority="9" operator="between">
      <formula>0.05</formula>
      <formula>0.15</formula>
    </cfRule>
    <cfRule type="cellIs" dxfId="254" priority="10" operator="between">
      <formula>-0.05</formula>
      <formula>0.05</formula>
    </cfRule>
    <cfRule type="cellIs" dxfId="253" priority="11" operator="between">
      <formula>-0.15</formula>
      <formula>-0.05</formula>
    </cfRule>
    <cfRule type="cellIs" dxfId="252" priority="12" operator="lessThanOrEqual">
      <formula>-0.15</formula>
    </cfRule>
  </conditionalFormatting>
  <conditionalFormatting sqref="L5:L14 L18:L27">
    <cfRule type="cellIs" dxfId="251" priority="1" operator="greaterThanOrEqual">
      <formula>0.25</formula>
    </cfRule>
    <cfRule type="cellIs" dxfId="250" priority="2" operator="between">
      <formula>0.15</formula>
      <formula>0.25</formula>
    </cfRule>
    <cfRule type="cellIs" dxfId="249" priority="3" operator="between">
      <formula>0.05</formula>
      <formula>0.15</formula>
    </cfRule>
    <cfRule type="cellIs" dxfId="248" priority="4" operator="between">
      <formula>-0.05</formula>
      <formula>0.05</formula>
    </cfRule>
    <cfRule type="cellIs" dxfId="247" priority="5" operator="between">
      <formula>-0.15</formula>
      <formula>-0.05</formula>
    </cfRule>
    <cfRule type="cellIs" dxfId="246" priority="6" operator="lessThanOrEqual">
      <formula>-0.15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28"/>
  <sheetViews>
    <sheetView workbookViewId="0"/>
  </sheetViews>
  <sheetFormatPr baseColWidth="10" defaultColWidth="9.109375" defaultRowHeight="14.4" x14ac:dyDescent="0.3"/>
  <cols>
    <col min="1" max="1" width="1.44140625" customWidth="1"/>
    <col min="2" max="2" width="23.6640625" bestFit="1" customWidth="1"/>
    <col min="3" max="4" width="9.109375" style="3"/>
    <col min="6" max="6" width="22.33203125" bestFit="1" customWidth="1"/>
    <col min="7" max="8" width="9.109375" style="3"/>
    <col min="10" max="10" width="25.33203125" bestFit="1" customWidth="1"/>
    <col min="11" max="12" width="9.109375" style="3"/>
  </cols>
  <sheetData>
    <row r="1" spans="2:12" ht="7.5" customHeight="1" x14ac:dyDescent="0.3"/>
    <row r="2" spans="2:12" x14ac:dyDescent="0.3">
      <c r="B2" s="2" t="s">
        <v>0</v>
      </c>
    </row>
    <row r="3" spans="2:12" ht="7.5" customHeight="1" x14ac:dyDescent="0.3"/>
    <row r="4" spans="2:12" x14ac:dyDescent="0.3">
      <c r="B4" s="1" t="s">
        <v>1</v>
      </c>
      <c r="C4" s="7">
        <f>B15*0.85</f>
        <v>1.1805555555555555E-2</v>
      </c>
      <c r="F4" s="1" t="s">
        <v>12</v>
      </c>
      <c r="G4" s="7">
        <f>F15*0.85</f>
        <v>1.7708333333333333E-2</v>
      </c>
      <c r="J4" s="1" t="s">
        <v>13</v>
      </c>
      <c r="K4" s="7">
        <f>J15*0.85</f>
        <v>2.9513888888888888E-2</v>
      </c>
    </row>
    <row r="5" spans="2:12" x14ac:dyDescent="0.3">
      <c r="B5" t="s">
        <v>5</v>
      </c>
      <c r="C5" s="4">
        <v>8.5763888888888886E-3</v>
      </c>
      <c r="D5" s="5">
        <f>(C5-B$15)/B$15</f>
        <v>-0.38250000000000001</v>
      </c>
      <c r="F5" t="s">
        <v>74</v>
      </c>
      <c r="G5" s="4">
        <v>2.0914351851851851E-2</v>
      </c>
      <c r="H5" s="5">
        <f>(G5-F$15)/F$15</f>
        <v>3.8888888888888862E-3</v>
      </c>
      <c r="J5" t="s">
        <v>81</v>
      </c>
      <c r="K5" s="4">
        <v>3.2719907407407406E-2</v>
      </c>
      <c r="L5" s="5">
        <f>(K5-J$15)/J$15</f>
        <v>-5.7666666666666755E-2</v>
      </c>
    </row>
    <row r="6" spans="2:12" x14ac:dyDescent="0.3">
      <c r="B6" t="s">
        <v>67</v>
      </c>
      <c r="C6" s="4">
        <v>9.2013888888888892E-3</v>
      </c>
      <c r="D6" s="5">
        <f t="shared" ref="D6:D14" si="0">(C6-B$15)/B$15</f>
        <v>-0.33749999999999997</v>
      </c>
      <c r="F6" t="s">
        <v>75</v>
      </c>
      <c r="G6" s="4">
        <v>2.1319444444444443E-2</v>
      </c>
      <c r="H6" s="5">
        <f t="shared" ref="H6:H14" si="1">(G6-F$15)/F$15</f>
        <v>2.3333333333333317E-2</v>
      </c>
      <c r="J6" t="s">
        <v>82</v>
      </c>
      <c r="K6" s="4">
        <v>3.408564814814815E-2</v>
      </c>
      <c r="L6" s="5">
        <f t="shared" ref="L6:L14" si="2">(K6-J$15)/J$15</f>
        <v>-1.8333333333333333E-2</v>
      </c>
    </row>
    <row r="7" spans="2:12" x14ac:dyDescent="0.3">
      <c r="B7" t="s">
        <v>68</v>
      </c>
      <c r="C7" s="4">
        <v>9.571759259259259E-3</v>
      </c>
      <c r="D7" s="5">
        <f t="shared" si="0"/>
        <v>-0.31083333333333329</v>
      </c>
      <c r="F7" t="s">
        <v>50</v>
      </c>
      <c r="G7" s="4">
        <v>2.1666666666666667E-2</v>
      </c>
      <c r="H7" s="5">
        <f t="shared" si="1"/>
        <v>4.0000000000000091E-2</v>
      </c>
      <c r="J7" t="s">
        <v>31</v>
      </c>
      <c r="K7" s="4">
        <v>3.4212962962962966E-2</v>
      </c>
      <c r="L7" s="5">
        <f t="shared" si="2"/>
        <v>-1.4666666666666626E-2</v>
      </c>
    </row>
    <row r="8" spans="2:12" x14ac:dyDescent="0.3">
      <c r="B8" t="s">
        <v>69</v>
      </c>
      <c r="C8" s="4">
        <v>9.8842592592592576E-3</v>
      </c>
      <c r="D8" s="5">
        <f t="shared" si="0"/>
        <v>-0.28833333333333344</v>
      </c>
      <c r="F8" t="s">
        <v>14</v>
      </c>
      <c r="G8" s="4">
        <v>2.2303240740740738E-2</v>
      </c>
      <c r="H8" s="5">
        <f t="shared" si="1"/>
        <v>7.0555555555555483E-2</v>
      </c>
      <c r="J8" t="s">
        <v>83</v>
      </c>
      <c r="K8" s="4">
        <v>3.4398148148148143E-2</v>
      </c>
      <c r="L8" s="5">
        <f t="shared" si="2"/>
        <v>-9.3333333333335267E-3</v>
      </c>
    </row>
    <row r="9" spans="2:12" x14ac:dyDescent="0.3">
      <c r="B9" t="s">
        <v>65</v>
      </c>
      <c r="C9" s="4">
        <v>9.9189814814814817E-3</v>
      </c>
      <c r="D9" s="5">
        <f t="shared" si="0"/>
        <v>-0.28583333333333327</v>
      </c>
      <c r="F9" t="s">
        <v>76</v>
      </c>
      <c r="G9" s="4">
        <v>2.2650462962962966E-2</v>
      </c>
      <c r="H9" s="5">
        <f t="shared" si="1"/>
        <v>8.7222222222222423E-2</v>
      </c>
      <c r="J9" t="s">
        <v>30</v>
      </c>
      <c r="K9" s="4">
        <v>3.6111111111111115E-2</v>
      </c>
      <c r="L9" s="5">
        <f t="shared" si="2"/>
        <v>4.0000000000000056E-2</v>
      </c>
    </row>
    <row r="10" spans="2:12" x14ac:dyDescent="0.3">
      <c r="B10" t="s">
        <v>70</v>
      </c>
      <c r="C10" s="4">
        <v>1.0439814814814813E-2</v>
      </c>
      <c r="D10" s="5">
        <f t="shared" si="0"/>
        <v>-0.24833333333333341</v>
      </c>
      <c r="F10" t="s">
        <v>77</v>
      </c>
      <c r="G10" s="4">
        <v>2.3391203703703702E-2</v>
      </c>
      <c r="H10" s="5">
        <f t="shared" si="1"/>
        <v>0.12277777777777776</v>
      </c>
      <c r="J10" t="s">
        <v>84</v>
      </c>
      <c r="K10" s="4">
        <v>3.6122685185185181E-2</v>
      </c>
      <c r="L10" s="5">
        <f t="shared" si="2"/>
        <v>4.0333333333333173E-2</v>
      </c>
    </row>
    <row r="11" spans="2:12" x14ac:dyDescent="0.3">
      <c r="B11" t="s">
        <v>71</v>
      </c>
      <c r="C11" s="4">
        <v>1.0625000000000001E-2</v>
      </c>
      <c r="D11" s="5">
        <f t="shared" si="0"/>
        <v>-0.2349999999999999</v>
      </c>
      <c r="F11" t="s">
        <v>78</v>
      </c>
      <c r="G11" s="4">
        <v>2.4062500000000001E-2</v>
      </c>
      <c r="H11" s="5">
        <f t="shared" si="1"/>
        <v>0.15500000000000008</v>
      </c>
      <c r="J11" t="s">
        <v>85</v>
      </c>
      <c r="K11" s="4">
        <v>3.6284722222222225E-2</v>
      </c>
      <c r="L11" s="5">
        <f t="shared" si="2"/>
        <v>4.500000000000004E-2</v>
      </c>
    </row>
    <row r="12" spans="2:12" x14ac:dyDescent="0.3">
      <c r="B12" t="s">
        <v>72</v>
      </c>
      <c r="C12" s="4">
        <v>1.0671296296296297E-2</v>
      </c>
      <c r="D12" s="5">
        <f t="shared" si="0"/>
        <v>-0.23166666666666658</v>
      </c>
      <c r="F12" t="s">
        <v>79</v>
      </c>
      <c r="G12" s="4">
        <v>2.4074074074074071E-2</v>
      </c>
      <c r="H12" s="5">
        <f t="shared" si="1"/>
        <v>0.15555555555555545</v>
      </c>
      <c r="J12" t="s">
        <v>86</v>
      </c>
      <c r="K12" s="4">
        <v>3.6979166666666667E-2</v>
      </c>
      <c r="L12" s="5">
        <f t="shared" si="2"/>
        <v>6.4999999999999961E-2</v>
      </c>
    </row>
    <row r="13" spans="2:12" x14ac:dyDescent="0.3">
      <c r="B13" t="s">
        <v>2</v>
      </c>
      <c r="C13" s="4">
        <v>1.0694444444444444E-2</v>
      </c>
      <c r="D13" s="5">
        <f t="shared" si="0"/>
        <v>-0.22999999999999998</v>
      </c>
      <c r="F13" t="s">
        <v>49</v>
      </c>
      <c r="G13" s="4">
        <v>2.4155092592592589E-2</v>
      </c>
      <c r="H13" s="5">
        <f t="shared" si="1"/>
        <v>0.15944444444444433</v>
      </c>
      <c r="J13" t="s">
        <v>24</v>
      </c>
      <c r="K13" s="4">
        <v>3.7094907407407403E-2</v>
      </c>
      <c r="L13" s="5">
        <f t="shared" si="2"/>
        <v>6.8333333333333149E-2</v>
      </c>
    </row>
    <row r="14" spans="2:12" x14ac:dyDescent="0.3">
      <c r="B14" t="s">
        <v>73</v>
      </c>
      <c r="C14" s="4">
        <v>1.0717592592592593E-2</v>
      </c>
      <c r="D14" s="5">
        <f t="shared" si="0"/>
        <v>-0.22833333333333328</v>
      </c>
      <c r="F14" t="s">
        <v>80</v>
      </c>
      <c r="G14" s="4">
        <v>2.4548611111111115E-2</v>
      </c>
      <c r="H14" s="5">
        <f t="shared" si="1"/>
        <v>0.17833333333333357</v>
      </c>
      <c r="J14" t="s">
        <v>26</v>
      </c>
      <c r="K14" s="4">
        <v>3.7210648148148152E-2</v>
      </c>
      <c r="L14" s="5">
        <f t="shared" si="2"/>
        <v>7.166666666666674E-2</v>
      </c>
    </row>
    <row r="15" spans="2:12" x14ac:dyDescent="0.3">
      <c r="B15" s="6">
        <v>1.3888888888888888E-2</v>
      </c>
      <c r="D15"/>
      <c r="F15" s="6">
        <v>2.0833333333333332E-2</v>
      </c>
      <c r="H15"/>
      <c r="J15" s="6">
        <v>3.4722222222222224E-2</v>
      </c>
      <c r="L15"/>
    </row>
    <row r="16" spans="2:12" ht="7.5" customHeight="1" x14ac:dyDescent="0.3">
      <c r="D16"/>
      <c r="H16"/>
      <c r="L16"/>
    </row>
    <row r="17" spans="2:12" x14ac:dyDescent="0.3">
      <c r="B17" s="1" t="s">
        <v>34</v>
      </c>
      <c r="C17" s="7">
        <f>B28*0.85</f>
        <v>1.1805555555555555E-2</v>
      </c>
      <c r="D17"/>
      <c r="F17" s="1" t="s">
        <v>35</v>
      </c>
      <c r="G17" s="7">
        <f>F28*0.85</f>
        <v>1.7708333333333333E-2</v>
      </c>
      <c r="H17"/>
      <c r="J17" s="1" t="s">
        <v>36</v>
      </c>
      <c r="K17" s="7">
        <f>J28*0.85</f>
        <v>2.361111111111111E-2</v>
      </c>
      <c r="L17"/>
    </row>
    <row r="18" spans="2:12" x14ac:dyDescent="0.3">
      <c r="B18" t="s">
        <v>87</v>
      </c>
      <c r="C18" s="4">
        <v>1.0231481481481482E-2</v>
      </c>
      <c r="D18" s="5">
        <f>(C18-B$28)/B$28</f>
        <v>-0.26333333333333325</v>
      </c>
      <c r="F18" t="s">
        <v>52</v>
      </c>
      <c r="G18" s="4">
        <v>2.2268518518518521E-2</v>
      </c>
      <c r="H18" s="5">
        <f>(G18-F$28)/F$28</f>
        <v>6.8888888888889055E-2</v>
      </c>
      <c r="J18" t="s">
        <v>42</v>
      </c>
      <c r="K18" s="4">
        <v>2.9560185185185189E-2</v>
      </c>
      <c r="L18" s="5">
        <f>(K18-J$28)/J$28</f>
        <v>6.4166666666666872E-2</v>
      </c>
    </row>
    <row r="19" spans="2:12" x14ac:dyDescent="0.3">
      <c r="B19" t="s">
        <v>88</v>
      </c>
      <c r="C19" s="4">
        <v>1.0532407407407407E-2</v>
      </c>
      <c r="D19" s="5">
        <f t="shared" ref="D19:D27" si="3">(C19-B$28)/B$28</f>
        <v>-0.24166666666666664</v>
      </c>
      <c r="F19" t="s">
        <v>47</v>
      </c>
      <c r="G19" s="4">
        <v>2.3379629629629629E-2</v>
      </c>
      <c r="H19" s="5">
        <f t="shared" ref="H19:H27" si="4">(G19-F$28)/F$28</f>
        <v>0.12222222222222223</v>
      </c>
      <c r="J19" t="s">
        <v>103</v>
      </c>
      <c r="K19" s="4">
        <v>3.3194444444444443E-2</v>
      </c>
      <c r="L19" s="5">
        <f t="shared" ref="L19:L27" si="5">(K19-J$28)/J$28</f>
        <v>0.19500000000000001</v>
      </c>
    </row>
    <row r="20" spans="2:12" x14ac:dyDescent="0.3">
      <c r="B20" t="s">
        <v>89</v>
      </c>
      <c r="C20" s="4">
        <v>1.0567129629629629E-2</v>
      </c>
      <c r="D20" s="5">
        <f t="shared" si="3"/>
        <v>-0.23916666666666664</v>
      </c>
      <c r="F20" t="s">
        <v>95</v>
      </c>
      <c r="G20" s="4">
        <v>2.390046296296296E-2</v>
      </c>
      <c r="H20" s="5">
        <f t="shared" si="4"/>
        <v>0.14722222222222214</v>
      </c>
      <c r="J20" t="s">
        <v>104</v>
      </c>
      <c r="K20" s="4">
        <v>3.3506944444444443E-2</v>
      </c>
      <c r="L20" s="5">
        <f t="shared" si="5"/>
        <v>0.20625000000000002</v>
      </c>
    </row>
    <row r="21" spans="2:12" x14ac:dyDescent="0.3">
      <c r="B21" t="s">
        <v>90</v>
      </c>
      <c r="C21" s="4">
        <v>1.0787037037037038E-2</v>
      </c>
      <c r="D21" s="5">
        <f t="shared" si="3"/>
        <v>-0.22333333333333324</v>
      </c>
      <c r="F21" t="s">
        <v>96</v>
      </c>
      <c r="G21" s="4">
        <v>2.4606481481481479E-2</v>
      </c>
      <c r="H21" s="5">
        <f t="shared" si="4"/>
        <v>0.18111111111111106</v>
      </c>
      <c r="J21" t="s">
        <v>105</v>
      </c>
      <c r="K21" s="4">
        <v>3.3692129629629627E-2</v>
      </c>
      <c r="L21" s="5">
        <f t="shared" si="5"/>
        <v>0.21291666666666664</v>
      </c>
    </row>
    <row r="22" spans="2:12" x14ac:dyDescent="0.3">
      <c r="B22" t="s">
        <v>91</v>
      </c>
      <c r="C22" s="4">
        <v>1.1296296296296296E-2</v>
      </c>
      <c r="D22" s="5">
        <f t="shared" si="3"/>
        <v>-0.18666666666666668</v>
      </c>
      <c r="F22" t="s">
        <v>97</v>
      </c>
      <c r="G22" s="4">
        <v>2.4664351851851851E-2</v>
      </c>
      <c r="H22" s="5">
        <f t="shared" si="4"/>
        <v>0.18388888888888888</v>
      </c>
      <c r="J22" t="s">
        <v>106</v>
      </c>
      <c r="K22" s="4">
        <v>3.3819444444444451E-2</v>
      </c>
      <c r="L22" s="5">
        <f t="shared" si="5"/>
        <v>0.21750000000000028</v>
      </c>
    </row>
    <row r="23" spans="2:12" x14ac:dyDescent="0.3">
      <c r="B23" t="s">
        <v>11</v>
      </c>
      <c r="C23" s="4">
        <v>1.1423611111111112E-2</v>
      </c>
      <c r="D23" s="5">
        <f t="shared" si="3"/>
        <v>-0.17749999999999991</v>
      </c>
      <c r="F23" t="s">
        <v>98</v>
      </c>
      <c r="G23" s="4">
        <v>2.476851851851852E-2</v>
      </c>
      <c r="H23" s="5">
        <f t="shared" si="4"/>
        <v>0.18888888888888899</v>
      </c>
      <c r="J23" t="s">
        <v>48</v>
      </c>
      <c r="K23" s="4">
        <v>3.4027777777777775E-2</v>
      </c>
      <c r="L23" s="5">
        <f t="shared" si="5"/>
        <v>0.22499999999999995</v>
      </c>
    </row>
    <row r="24" spans="2:12" x14ac:dyDescent="0.3">
      <c r="B24" t="s">
        <v>60</v>
      </c>
      <c r="C24" s="4">
        <v>1.1585648148148149E-2</v>
      </c>
      <c r="D24" s="5">
        <f t="shared" si="3"/>
        <v>-0.16583333333333325</v>
      </c>
      <c r="F24" t="s">
        <v>99</v>
      </c>
      <c r="G24" s="4">
        <v>2.5185185185185185E-2</v>
      </c>
      <c r="H24" s="5">
        <f t="shared" si="4"/>
        <v>0.20888888888888896</v>
      </c>
      <c r="J24" t="s">
        <v>107</v>
      </c>
      <c r="K24" s="4">
        <v>3.408564814814815E-2</v>
      </c>
      <c r="L24" s="5">
        <f t="shared" si="5"/>
        <v>0.22708333333333344</v>
      </c>
    </row>
    <row r="25" spans="2:12" x14ac:dyDescent="0.3">
      <c r="B25" t="s">
        <v>92</v>
      </c>
      <c r="C25" s="4">
        <v>1.1736111111111109E-2</v>
      </c>
      <c r="D25" s="5">
        <f t="shared" si="3"/>
        <v>-0.15500000000000014</v>
      </c>
      <c r="F25" t="s">
        <v>100</v>
      </c>
      <c r="G25" s="4">
        <v>2.5763888888888892E-2</v>
      </c>
      <c r="H25" s="5">
        <f t="shared" si="4"/>
        <v>0.23666666666666686</v>
      </c>
      <c r="J25" t="s">
        <v>40</v>
      </c>
      <c r="K25" s="4">
        <v>3.408564814814815E-2</v>
      </c>
      <c r="L25" s="5">
        <f t="shared" si="5"/>
        <v>0.22708333333333344</v>
      </c>
    </row>
    <row r="26" spans="2:12" x14ac:dyDescent="0.3">
      <c r="B26" t="s">
        <v>93</v>
      </c>
      <c r="C26" s="4">
        <v>1.1967592592592592E-2</v>
      </c>
      <c r="D26" s="5">
        <f t="shared" si="3"/>
        <v>-0.13833333333333331</v>
      </c>
      <c r="F26" t="s">
        <v>101</v>
      </c>
      <c r="G26" s="4">
        <v>2.6168981481481477E-2</v>
      </c>
      <c r="H26" s="5">
        <f t="shared" si="4"/>
        <v>0.25611111111111096</v>
      </c>
      <c r="J26" t="s">
        <v>108</v>
      </c>
      <c r="K26" s="4">
        <v>3.4224537037037032E-2</v>
      </c>
      <c r="L26" s="5">
        <f t="shared" si="5"/>
        <v>0.23208333333333322</v>
      </c>
    </row>
    <row r="27" spans="2:12" x14ac:dyDescent="0.3">
      <c r="B27" t="s">
        <v>94</v>
      </c>
      <c r="C27" s="4">
        <v>1.2060185185185186E-2</v>
      </c>
      <c r="D27" s="5">
        <f t="shared" si="3"/>
        <v>-0.13166666666666657</v>
      </c>
      <c r="F27" t="s">
        <v>102</v>
      </c>
      <c r="G27" s="4">
        <v>2.6180555555555558E-2</v>
      </c>
      <c r="H27" s="5">
        <f t="shared" si="4"/>
        <v>0.25666666666666682</v>
      </c>
      <c r="J27" t="s">
        <v>109</v>
      </c>
      <c r="K27" s="4">
        <v>3.4363425925925929E-2</v>
      </c>
      <c r="L27" s="5">
        <f t="shared" si="5"/>
        <v>0.23708333333333351</v>
      </c>
    </row>
    <row r="28" spans="2:12" x14ac:dyDescent="0.3">
      <c r="B28" s="6">
        <v>1.3888888888888888E-2</v>
      </c>
      <c r="D28" s="5"/>
      <c r="F28" s="6">
        <v>2.0833333333333332E-2</v>
      </c>
      <c r="H28" s="5"/>
      <c r="J28" s="6">
        <v>2.7777777777777776E-2</v>
      </c>
      <c r="L28" s="5"/>
    </row>
  </sheetData>
  <conditionalFormatting sqref="D5:D14 D18:D27">
    <cfRule type="cellIs" dxfId="245" priority="13" operator="greaterThanOrEqual">
      <formula>0.25</formula>
    </cfRule>
    <cfRule type="cellIs" dxfId="244" priority="14" operator="between">
      <formula>0.15</formula>
      <formula>0.25</formula>
    </cfRule>
    <cfRule type="cellIs" dxfId="243" priority="15" operator="between">
      <formula>0.05</formula>
      <formula>0.15</formula>
    </cfRule>
    <cfRule type="cellIs" dxfId="242" priority="16" operator="between">
      <formula>-0.05</formula>
      <formula>0.05</formula>
    </cfRule>
    <cfRule type="cellIs" dxfId="241" priority="17" operator="between">
      <formula>-0.15</formula>
      <formula>-0.05</formula>
    </cfRule>
    <cfRule type="cellIs" dxfId="240" priority="18" operator="lessThanOrEqual">
      <formula>-0.15</formula>
    </cfRule>
  </conditionalFormatting>
  <conditionalFormatting sqref="H5:H14 H18:H27">
    <cfRule type="cellIs" dxfId="239" priority="7" operator="greaterThanOrEqual">
      <formula>0.25</formula>
    </cfRule>
    <cfRule type="cellIs" dxfId="238" priority="8" operator="between">
      <formula>0.15</formula>
      <formula>0.25</formula>
    </cfRule>
    <cfRule type="cellIs" dxfId="237" priority="9" operator="between">
      <formula>0.05</formula>
      <formula>0.15</formula>
    </cfRule>
    <cfRule type="cellIs" dxfId="236" priority="10" operator="between">
      <formula>-0.05</formula>
      <formula>0.05</formula>
    </cfRule>
    <cfRule type="cellIs" dxfId="235" priority="11" operator="between">
      <formula>-0.15</formula>
      <formula>-0.05</formula>
    </cfRule>
    <cfRule type="cellIs" dxfId="234" priority="12" operator="lessThanOrEqual">
      <formula>-0.15</formula>
    </cfRule>
  </conditionalFormatting>
  <conditionalFormatting sqref="L5:L14 L18:L27">
    <cfRule type="cellIs" dxfId="233" priority="1" operator="greaterThanOrEqual">
      <formula>0.25</formula>
    </cfRule>
    <cfRule type="cellIs" dxfId="232" priority="2" operator="between">
      <formula>0.15</formula>
      <formula>0.25</formula>
    </cfRule>
    <cfRule type="cellIs" dxfId="231" priority="3" operator="between">
      <formula>0.05</formula>
      <formula>0.15</formula>
    </cfRule>
    <cfRule type="cellIs" dxfId="230" priority="4" operator="between">
      <formula>-0.05</formula>
      <formula>0.05</formula>
    </cfRule>
    <cfRule type="cellIs" dxfId="229" priority="5" operator="between">
      <formula>-0.15</formula>
      <formula>-0.05</formula>
    </cfRule>
    <cfRule type="cellIs" dxfId="228" priority="6" operator="lessThanOrEqual">
      <formula>-0.15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28"/>
  <sheetViews>
    <sheetView workbookViewId="0"/>
  </sheetViews>
  <sheetFormatPr baseColWidth="10" defaultRowHeight="14.4" x14ac:dyDescent="0.3"/>
  <cols>
    <col min="1" max="1" width="1.88671875" customWidth="1"/>
    <col min="2" max="2" width="21.88671875" customWidth="1"/>
    <col min="6" max="6" width="19.6640625" bestFit="1" customWidth="1"/>
    <col min="10" max="10" width="19.33203125" bestFit="1" customWidth="1"/>
  </cols>
  <sheetData>
    <row r="1" spans="2:12" ht="7.95" customHeight="1" x14ac:dyDescent="0.3">
      <c r="C1" s="3"/>
      <c r="D1" s="3"/>
      <c r="G1" s="3"/>
      <c r="H1" s="3"/>
      <c r="K1" s="3"/>
      <c r="L1" s="3"/>
    </row>
    <row r="2" spans="2:12" x14ac:dyDescent="0.3">
      <c r="B2" s="2" t="s">
        <v>0</v>
      </c>
      <c r="C2" s="3"/>
      <c r="D2" s="3"/>
      <c r="G2" s="3"/>
      <c r="H2" s="3"/>
      <c r="K2" s="3"/>
      <c r="L2" s="3"/>
    </row>
    <row r="3" spans="2:12" x14ac:dyDescent="0.3">
      <c r="C3" s="3"/>
      <c r="D3" s="3"/>
      <c r="G3" s="3"/>
      <c r="H3" s="3"/>
      <c r="K3" s="9"/>
      <c r="L3" s="9"/>
    </row>
    <row r="4" spans="2:12" x14ac:dyDescent="0.3">
      <c r="B4" s="1" t="s">
        <v>1</v>
      </c>
      <c r="C4" s="7">
        <f>B15*0.85</f>
        <v>1.1805555555555555E-2</v>
      </c>
      <c r="D4" s="3"/>
      <c r="F4" s="1" t="s">
        <v>12</v>
      </c>
      <c r="G4" s="7">
        <f>F15*0.85</f>
        <v>1.7708333333333333E-2</v>
      </c>
      <c r="H4" s="3"/>
      <c r="J4" s="8" t="s">
        <v>13</v>
      </c>
      <c r="K4" s="12">
        <f>J15*0.85</f>
        <v>2.9513888888888888E-2</v>
      </c>
      <c r="L4" s="13"/>
    </row>
    <row r="5" spans="2:12" x14ac:dyDescent="0.3">
      <c r="B5" t="s">
        <v>120</v>
      </c>
      <c r="C5" s="4">
        <v>1.5173611111111112E-2</v>
      </c>
      <c r="D5" s="5">
        <f>(C5-B$15)/B$15</f>
        <v>9.2500000000000096E-2</v>
      </c>
      <c r="F5" t="s">
        <v>233</v>
      </c>
      <c r="G5" s="4">
        <v>2.1168981481481483E-2</v>
      </c>
      <c r="H5" s="5">
        <f>(G5-F$15)/F$15</f>
        <v>1.6111111111111243E-2</v>
      </c>
      <c r="J5" s="10" t="s">
        <v>82</v>
      </c>
      <c r="K5" s="11">
        <v>3.0416666666666665E-2</v>
      </c>
      <c r="L5" s="5">
        <f t="shared" ref="L5:L14" si="0">(K5-J$15)/J$15</f>
        <v>-0.1240000000000001</v>
      </c>
    </row>
    <row r="6" spans="2:12" x14ac:dyDescent="0.3">
      <c r="B6" t="s">
        <v>89</v>
      </c>
      <c r="C6" s="4">
        <v>1.5173611111111112E-2</v>
      </c>
      <c r="D6" s="5">
        <f t="shared" ref="D6:D14" si="1">(C6-B$15)/B$15</f>
        <v>9.2500000000000096E-2</v>
      </c>
      <c r="F6" t="s">
        <v>16</v>
      </c>
      <c r="G6" s="4">
        <v>2.2094907407407407E-2</v>
      </c>
      <c r="H6" s="5">
        <f t="shared" ref="H6:H12" si="2">(G6-F$15)/F$15</f>
        <v>6.0555555555555585E-2</v>
      </c>
      <c r="J6" s="10" t="s">
        <v>111</v>
      </c>
      <c r="K6" s="11">
        <v>3.1875000000000001E-2</v>
      </c>
      <c r="L6" s="5">
        <f t="shared" si="0"/>
        <v>-8.2000000000000031E-2</v>
      </c>
    </row>
    <row r="7" spans="2:12" x14ac:dyDescent="0.3">
      <c r="B7" t="s">
        <v>121</v>
      </c>
      <c r="C7" s="4">
        <v>1.5243055555555557E-2</v>
      </c>
      <c r="D7" s="5">
        <f t="shared" si="1"/>
        <v>9.7500000000000128E-2</v>
      </c>
      <c r="F7" t="s">
        <v>50</v>
      </c>
      <c r="G7" s="4">
        <v>2.1666666666666667E-2</v>
      </c>
      <c r="H7" s="5">
        <f t="shared" si="2"/>
        <v>4.0000000000000091E-2</v>
      </c>
      <c r="J7" s="10" t="s">
        <v>83</v>
      </c>
      <c r="K7" s="11">
        <v>3.2222222222222222E-2</v>
      </c>
      <c r="L7" s="5">
        <f t="shared" si="0"/>
        <v>-7.2000000000000064E-2</v>
      </c>
    </row>
    <row r="8" spans="2:12" x14ac:dyDescent="0.3">
      <c r="B8" t="s">
        <v>122</v>
      </c>
      <c r="C8" s="4">
        <v>1.5266203703703705E-2</v>
      </c>
      <c r="D8" s="5">
        <f t="shared" si="1"/>
        <v>9.9166666666666847E-2</v>
      </c>
      <c r="F8" t="s">
        <v>78</v>
      </c>
      <c r="G8" s="4">
        <v>2.2141203703703705E-2</v>
      </c>
      <c r="H8" s="5">
        <f t="shared" si="2"/>
        <v>6.2777777777777877E-2</v>
      </c>
      <c r="J8" s="10" t="s">
        <v>112</v>
      </c>
      <c r="K8" s="14">
        <v>3.2534722222222222E-2</v>
      </c>
      <c r="L8" s="5">
        <f t="shared" si="0"/>
        <v>-6.3000000000000056E-2</v>
      </c>
    </row>
    <row r="9" spans="2:12" x14ac:dyDescent="0.3">
      <c r="B9" t="s">
        <v>123</v>
      </c>
      <c r="C9" s="4">
        <v>1.554398148148148E-2</v>
      </c>
      <c r="D9" s="5">
        <f t="shared" si="1"/>
        <v>0.1191666666666666</v>
      </c>
      <c r="F9" t="s">
        <v>116</v>
      </c>
      <c r="G9" s="4">
        <v>2.2291666666666668E-2</v>
      </c>
      <c r="H9" s="5">
        <f t="shared" si="2"/>
        <v>7.0000000000000118E-2</v>
      </c>
      <c r="J9" s="10" t="s">
        <v>113</v>
      </c>
      <c r="K9" s="11">
        <v>3.3113425925925928E-2</v>
      </c>
      <c r="L9" s="5">
        <f t="shared" si="0"/>
        <v>-4.6333333333333317E-2</v>
      </c>
    </row>
    <row r="10" spans="2:12" x14ac:dyDescent="0.3">
      <c r="B10" t="s">
        <v>124</v>
      </c>
      <c r="C10" s="4">
        <v>1.5914351851851853E-2</v>
      </c>
      <c r="D10" s="5">
        <f t="shared" si="1"/>
        <v>0.14583333333333348</v>
      </c>
      <c r="F10" t="s">
        <v>117</v>
      </c>
      <c r="G10" s="4">
        <v>2.2800925925925929E-2</v>
      </c>
      <c r="H10" s="5">
        <f t="shared" si="2"/>
        <v>9.4444444444444664E-2</v>
      </c>
      <c r="J10" s="10" t="s">
        <v>114</v>
      </c>
      <c r="K10" s="11">
        <v>3.3171296296296296E-2</v>
      </c>
      <c r="L10" s="5">
        <f t="shared" si="0"/>
        <v>-4.4666666666666723E-2</v>
      </c>
    </row>
    <row r="11" spans="2:12" x14ac:dyDescent="0.3">
      <c r="B11" t="s">
        <v>125</v>
      </c>
      <c r="C11" s="4">
        <v>1.6354166666666666E-2</v>
      </c>
      <c r="D11" s="5">
        <f t="shared" si="1"/>
        <v>0.17750000000000002</v>
      </c>
      <c r="F11" t="s">
        <v>86</v>
      </c>
      <c r="G11" s="4">
        <v>2.3055555555555555E-2</v>
      </c>
      <c r="H11" s="5">
        <f t="shared" si="2"/>
        <v>0.10666666666666669</v>
      </c>
      <c r="J11" s="10" t="s">
        <v>24</v>
      </c>
      <c r="K11" s="11">
        <v>3.3310185185185186E-2</v>
      </c>
      <c r="L11" s="5">
        <f t="shared" si="0"/>
        <v>-4.0666666666666691E-2</v>
      </c>
    </row>
    <row r="12" spans="2:12" x14ac:dyDescent="0.3">
      <c r="B12" t="s">
        <v>126</v>
      </c>
      <c r="C12" s="4">
        <v>1.6469907407407405E-2</v>
      </c>
      <c r="D12" s="5">
        <f t="shared" si="1"/>
        <v>0.18583333333333324</v>
      </c>
      <c r="F12" t="s">
        <v>118</v>
      </c>
      <c r="G12" s="4">
        <v>2.3055555555555555E-2</v>
      </c>
      <c r="H12" s="5">
        <f t="shared" si="2"/>
        <v>0.10666666666666669</v>
      </c>
      <c r="J12" s="10" t="s">
        <v>81</v>
      </c>
      <c r="K12" s="11">
        <v>3.3310185185185186E-2</v>
      </c>
      <c r="L12" s="5">
        <f t="shared" si="0"/>
        <v>-4.0666666666666691E-2</v>
      </c>
    </row>
    <row r="13" spans="2:12" x14ac:dyDescent="0.3">
      <c r="B13" t="s">
        <v>127</v>
      </c>
      <c r="C13" s="4">
        <v>1.6793981481481483E-2</v>
      </c>
      <c r="D13" s="5">
        <f t="shared" si="1"/>
        <v>0.20916666666666681</v>
      </c>
      <c r="F13" t="s">
        <v>108</v>
      </c>
      <c r="G13" s="4">
        <v>2.342592592592593E-2</v>
      </c>
      <c r="H13" s="5">
        <f>(G13-F$15)/F$15</f>
        <v>0.12444444444444469</v>
      </c>
      <c r="J13" s="10" t="s">
        <v>110</v>
      </c>
      <c r="K13" s="11">
        <v>3.4016203703703708E-2</v>
      </c>
      <c r="L13" s="5">
        <f t="shared" si="0"/>
        <v>-2.0333333333333248E-2</v>
      </c>
    </row>
    <row r="14" spans="2:12" x14ac:dyDescent="0.3">
      <c r="B14" t="s">
        <v>91</v>
      </c>
      <c r="C14" s="4">
        <v>1.6851851851851851E-2</v>
      </c>
      <c r="D14" s="5">
        <f t="shared" si="1"/>
        <v>0.21333333333333329</v>
      </c>
      <c r="F14" t="s">
        <v>119</v>
      </c>
      <c r="G14" s="4">
        <v>2.3541666666666666E-2</v>
      </c>
      <c r="H14" s="5">
        <f>(G14-F$15)/F$15</f>
        <v>0.13</v>
      </c>
      <c r="J14" s="10" t="s">
        <v>115</v>
      </c>
      <c r="K14" s="11">
        <v>3.4421296296296297E-2</v>
      </c>
      <c r="L14" s="5">
        <f t="shared" si="0"/>
        <v>-8.6666666666666888E-3</v>
      </c>
    </row>
    <row r="15" spans="2:12" x14ac:dyDescent="0.3">
      <c r="B15" s="6">
        <v>1.3888888888888888E-2</v>
      </c>
      <c r="C15" s="3"/>
      <c r="F15" s="6">
        <v>2.0833333333333332E-2</v>
      </c>
      <c r="G15" s="3"/>
      <c r="J15" s="6">
        <v>3.4722222222222224E-2</v>
      </c>
      <c r="K15" s="3"/>
    </row>
    <row r="16" spans="2:12" x14ac:dyDescent="0.3">
      <c r="C16" s="3"/>
      <c r="G16" s="3"/>
      <c r="K16" s="3"/>
    </row>
    <row r="17" spans="2:16" x14ac:dyDescent="0.3">
      <c r="B17" s="1" t="s">
        <v>34</v>
      </c>
      <c r="C17" s="7">
        <f>B28*0.85</f>
        <v>1.1805555555555555E-2</v>
      </c>
      <c r="F17" s="1" t="s">
        <v>35</v>
      </c>
      <c r="G17" s="7">
        <f>F28*0.85</f>
        <v>1.7708333333333333E-2</v>
      </c>
      <c r="J17" s="1" t="s">
        <v>36</v>
      </c>
      <c r="K17" s="7">
        <f>J28*0.85</f>
        <v>2.361111111111111E-2</v>
      </c>
    </row>
    <row r="18" spans="2:16" x14ac:dyDescent="0.3">
      <c r="B18" t="s">
        <v>143</v>
      </c>
      <c r="C18" s="4">
        <v>1.4594907407407405E-2</v>
      </c>
      <c r="D18" s="5">
        <f>(C18-B$28)/B$28</f>
        <v>5.0833333333333244E-2</v>
      </c>
      <c r="F18" t="s">
        <v>136</v>
      </c>
      <c r="G18" s="4">
        <v>2.4166666666666666E-2</v>
      </c>
      <c r="H18" s="5">
        <f>(G18-F$28)/F$28</f>
        <v>0.16000000000000003</v>
      </c>
      <c r="J18" t="s">
        <v>30</v>
      </c>
      <c r="K18" s="4">
        <v>2.7291666666666662E-2</v>
      </c>
      <c r="L18" s="5">
        <f>(K18-J$28)/J$28</f>
        <v>-1.7500000000000113E-2</v>
      </c>
    </row>
    <row r="19" spans="2:16" x14ac:dyDescent="0.3">
      <c r="B19" t="s">
        <v>144</v>
      </c>
      <c r="C19" s="4">
        <v>1.5590277777777778E-2</v>
      </c>
      <c r="D19" s="5">
        <f t="shared" ref="D19:D27" si="3">(C19-B$28)/B$28</f>
        <v>0.12250000000000004</v>
      </c>
      <c r="F19" t="s">
        <v>137</v>
      </c>
      <c r="G19" s="4">
        <v>2.4293981481481482E-2</v>
      </c>
      <c r="H19" s="5">
        <f t="shared" ref="H19:H26" si="4">(G19-F$28)/F$28</f>
        <v>0.16611111111111121</v>
      </c>
      <c r="J19" t="s">
        <v>128</v>
      </c>
      <c r="K19" s="4">
        <v>2.7511574074074074E-2</v>
      </c>
      <c r="L19" s="5">
        <f t="shared" ref="L19:L27" si="5">(K19-J$28)/J$28</f>
        <v>-9.583333333333291E-3</v>
      </c>
    </row>
    <row r="20" spans="2:16" x14ac:dyDescent="0.3">
      <c r="B20" t="s">
        <v>145</v>
      </c>
      <c r="C20" s="4">
        <v>1.5740740740740743E-2</v>
      </c>
      <c r="D20" s="5">
        <f t="shared" si="3"/>
        <v>0.13333333333333353</v>
      </c>
      <c r="F20" t="s">
        <v>43</v>
      </c>
      <c r="G20" s="4">
        <v>2.4351851851851857E-2</v>
      </c>
      <c r="H20" s="5">
        <f t="shared" si="4"/>
        <v>0.1688888888888892</v>
      </c>
      <c r="J20" t="s">
        <v>129</v>
      </c>
      <c r="K20" s="4">
        <v>2.7627314814814813E-2</v>
      </c>
      <c r="L20" s="5">
        <f t="shared" si="5"/>
        <v>-5.4166666666666807E-3</v>
      </c>
    </row>
    <row r="21" spans="2:16" x14ac:dyDescent="0.3">
      <c r="B21" t="s">
        <v>146</v>
      </c>
      <c r="C21" s="4">
        <v>1.6747685185185185E-2</v>
      </c>
      <c r="D21" s="5">
        <f t="shared" si="3"/>
        <v>0.20583333333333337</v>
      </c>
      <c r="F21" t="s">
        <v>138</v>
      </c>
      <c r="G21" s="4">
        <v>2.4745370370370372E-2</v>
      </c>
      <c r="H21" s="5">
        <f t="shared" si="4"/>
        <v>0.18777777777777793</v>
      </c>
      <c r="J21" t="s">
        <v>130</v>
      </c>
      <c r="K21" s="4">
        <v>2.8969907407407406E-2</v>
      </c>
      <c r="L21" s="5">
        <f t="shared" si="5"/>
        <v>4.2916666666666672E-2</v>
      </c>
    </row>
    <row r="22" spans="2:16" x14ac:dyDescent="0.3">
      <c r="B22" t="s">
        <v>147</v>
      </c>
      <c r="C22" s="4">
        <v>1.7430555555555557E-2</v>
      </c>
      <c r="D22" s="5">
        <f t="shared" si="3"/>
        <v>0.25500000000000017</v>
      </c>
      <c r="F22" t="s">
        <v>139</v>
      </c>
      <c r="G22" s="4">
        <v>2.5011574074074075E-2</v>
      </c>
      <c r="H22" s="5">
        <f t="shared" si="4"/>
        <v>0.20055555555555565</v>
      </c>
      <c r="J22" t="s">
        <v>131</v>
      </c>
      <c r="K22" s="4">
        <v>2.9212962962962965E-2</v>
      </c>
      <c r="L22" s="5">
        <f>(K22-J$28)/J$28</f>
        <v>5.1666666666666791E-2</v>
      </c>
      <c r="O22" s="4"/>
      <c r="P22" s="15"/>
    </row>
    <row r="23" spans="2:16" x14ac:dyDescent="0.3">
      <c r="B23" t="s">
        <v>148</v>
      </c>
      <c r="C23" s="4">
        <v>1.7650462962962962E-2</v>
      </c>
      <c r="D23" s="5">
        <f>(C23-B$28)/B$28</f>
        <v>0.27083333333333331</v>
      </c>
      <c r="F23" t="s">
        <v>57</v>
      </c>
      <c r="G23" s="4">
        <v>2.5023148148148145E-2</v>
      </c>
      <c r="H23" s="5">
        <f t="shared" si="4"/>
        <v>0.20111111111111102</v>
      </c>
      <c r="J23" t="s">
        <v>68</v>
      </c>
      <c r="K23" s="4">
        <v>2.929398148148148E-2</v>
      </c>
      <c r="L23" s="5">
        <f>(K23-J$28)/J$28</f>
        <v>5.4583333333333331E-2</v>
      </c>
    </row>
    <row r="24" spans="2:16" x14ac:dyDescent="0.3">
      <c r="B24" t="s">
        <v>149</v>
      </c>
      <c r="C24" s="4">
        <v>1.7743055555555557E-2</v>
      </c>
      <c r="D24" s="5">
        <f>(C24-B$28)/B$28</f>
        <v>0.27750000000000019</v>
      </c>
      <c r="F24" t="s">
        <v>140</v>
      </c>
      <c r="G24" s="4">
        <v>2.5231481481481483E-2</v>
      </c>
      <c r="H24" s="5">
        <f t="shared" si="4"/>
        <v>0.21111111111111125</v>
      </c>
      <c r="J24" t="s">
        <v>132</v>
      </c>
      <c r="K24" s="4">
        <v>2.9317129629629634E-2</v>
      </c>
      <c r="L24" s="5">
        <f>(K24-J$28)/J$28</f>
        <v>5.5416666666666878E-2</v>
      </c>
    </row>
    <row r="25" spans="2:16" x14ac:dyDescent="0.3">
      <c r="B25" t="s">
        <v>150</v>
      </c>
      <c r="C25" s="4">
        <v>1.8310185185185186E-2</v>
      </c>
      <c r="D25" s="5">
        <f t="shared" si="3"/>
        <v>0.31833333333333347</v>
      </c>
      <c r="F25" t="s">
        <v>3</v>
      </c>
      <c r="G25" s="4">
        <v>2.5636574074074072E-2</v>
      </c>
      <c r="H25" s="5">
        <f t="shared" si="4"/>
        <v>0.23055555555555551</v>
      </c>
      <c r="J25" t="s">
        <v>133</v>
      </c>
      <c r="K25" s="4">
        <v>2.9594907407407407E-2</v>
      </c>
      <c r="L25" s="5">
        <f>(K25-J$28)/J$28</f>
        <v>6.5416666666666692E-2</v>
      </c>
    </row>
    <row r="26" spans="2:16" x14ac:dyDescent="0.3">
      <c r="B26" t="s">
        <v>151</v>
      </c>
      <c r="C26" s="4">
        <v>1.8379629629629628E-2</v>
      </c>
      <c r="D26" s="5">
        <f t="shared" si="3"/>
        <v>0.32333333333333325</v>
      </c>
      <c r="F26" t="s">
        <v>142</v>
      </c>
      <c r="G26" s="4">
        <v>2.5532407407407406E-2</v>
      </c>
      <c r="H26" s="5">
        <f t="shared" si="4"/>
        <v>0.22555555555555556</v>
      </c>
      <c r="J26" t="s">
        <v>134</v>
      </c>
      <c r="K26" s="4">
        <v>2.9768518518518517E-2</v>
      </c>
      <c r="L26" s="5">
        <f>(K26-J$28)/J$28</f>
        <v>7.166666666666667E-2</v>
      </c>
    </row>
    <row r="27" spans="2:16" x14ac:dyDescent="0.3">
      <c r="B27" t="s">
        <v>152</v>
      </c>
      <c r="C27" s="4">
        <v>1.8888888888888889E-2</v>
      </c>
      <c r="D27" s="5">
        <f t="shared" si="3"/>
        <v>0.3600000000000001</v>
      </c>
      <c r="F27" t="s">
        <v>141</v>
      </c>
      <c r="G27" s="4">
        <v>2.5694444444444447E-2</v>
      </c>
      <c r="H27" s="5">
        <f t="shared" ref="H27" si="6">(G27-F$28)/F$28</f>
        <v>0.2333333333333335</v>
      </c>
      <c r="J27" t="s">
        <v>135</v>
      </c>
      <c r="K27" s="4">
        <v>3.0601851851851852E-2</v>
      </c>
      <c r="L27" s="5">
        <f t="shared" si="5"/>
        <v>0.10166666666666674</v>
      </c>
    </row>
    <row r="28" spans="2:16" x14ac:dyDescent="0.3">
      <c r="B28" s="6">
        <v>1.3888888888888888E-2</v>
      </c>
      <c r="C28" s="3"/>
      <c r="D28" s="5"/>
      <c r="F28" s="6">
        <v>2.0833333333333332E-2</v>
      </c>
      <c r="G28" s="3"/>
      <c r="H28" s="5"/>
      <c r="J28" s="6">
        <v>2.7777777777777776E-2</v>
      </c>
      <c r="K28" s="3"/>
      <c r="L28" s="5"/>
    </row>
  </sheetData>
  <conditionalFormatting sqref="D5:D14 D18:D27">
    <cfRule type="cellIs" dxfId="227" priority="13" operator="greaterThanOrEqual">
      <formula>0.25</formula>
    </cfRule>
    <cfRule type="cellIs" dxfId="226" priority="14" operator="between">
      <formula>0.15</formula>
      <formula>0.25</formula>
    </cfRule>
    <cfRule type="cellIs" dxfId="225" priority="15" operator="between">
      <formula>0.05</formula>
      <formula>0.15</formula>
    </cfRule>
    <cfRule type="cellIs" dxfId="224" priority="16" operator="between">
      <formula>-0.05</formula>
      <formula>0.05</formula>
    </cfRule>
    <cfRule type="cellIs" dxfId="223" priority="17" operator="between">
      <formula>-0.15</formula>
      <formula>-0.05</formula>
    </cfRule>
    <cfRule type="cellIs" dxfId="222" priority="18" operator="lessThanOrEqual">
      <formula>-0.15</formula>
    </cfRule>
  </conditionalFormatting>
  <conditionalFormatting sqref="H5:H14 H18:H27">
    <cfRule type="cellIs" dxfId="221" priority="7" operator="greaterThanOrEqual">
      <formula>0.25</formula>
    </cfRule>
    <cfRule type="cellIs" dxfId="220" priority="8" operator="between">
      <formula>0.15</formula>
      <formula>0.25</formula>
    </cfRule>
    <cfRule type="cellIs" dxfId="219" priority="9" operator="between">
      <formula>0.05</formula>
      <formula>0.15</formula>
    </cfRule>
    <cfRule type="cellIs" dxfId="218" priority="10" operator="between">
      <formula>-0.05</formula>
      <formula>0.05</formula>
    </cfRule>
    <cfRule type="cellIs" dxfId="217" priority="11" operator="between">
      <formula>-0.15</formula>
      <formula>-0.05</formula>
    </cfRule>
    <cfRule type="cellIs" dxfId="216" priority="12" operator="lessThanOrEqual">
      <formula>-0.15</formula>
    </cfRule>
  </conditionalFormatting>
  <conditionalFormatting sqref="L5:L14 L18:L27">
    <cfRule type="cellIs" dxfId="215" priority="1" operator="greaterThanOrEqual">
      <formula>0.25</formula>
    </cfRule>
    <cfRule type="cellIs" dxfId="214" priority="2" operator="between">
      <formula>0.15</formula>
      <formula>0.25</formula>
    </cfRule>
    <cfRule type="cellIs" dxfId="213" priority="3" operator="between">
      <formula>0.05</formula>
      <formula>0.15</formula>
    </cfRule>
    <cfRule type="cellIs" dxfId="212" priority="4" operator="between">
      <formula>-0.05</formula>
      <formula>0.05</formula>
    </cfRule>
    <cfRule type="cellIs" dxfId="211" priority="5" operator="between">
      <formula>-0.15</formula>
      <formula>-0.05</formula>
    </cfRule>
    <cfRule type="cellIs" dxfId="210" priority="6" operator="lessThanOrEqual">
      <formula>-0.15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L30"/>
  <sheetViews>
    <sheetView workbookViewId="0"/>
  </sheetViews>
  <sheetFormatPr baseColWidth="10" defaultRowHeight="14.4" x14ac:dyDescent="0.3"/>
  <cols>
    <col min="1" max="1" width="1.88671875" customWidth="1"/>
    <col min="2" max="2" width="20.44140625" customWidth="1"/>
    <col min="6" max="6" width="20.33203125" customWidth="1"/>
    <col min="10" max="10" width="20.33203125" bestFit="1" customWidth="1"/>
  </cols>
  <sheetData>
    <row r="1" spans="2:12" ht="7.95" customHeight="1" x14ac:dyDescent="0.3">
      <c r="C1" s="3"/>
      <c r="D1" s="3"/>
      <c r="G1" s="3"/>
      <c r="H1" s="3"/>
      <c r="K1" s="3"/>
      <c r="L1" s="3"/>
    </row>
    <row r="2" spans="2:12" x14ac:dyDescent="0.3">
      <c r="B2" s="2" t="s">
        <v>0</v>
      </c>
      <c r="C2" s="3"/>
      <c r="D2" s="3"/>
      <c r="G2" s="3"/>
      <c r="H2" s="3"/>
      <c r="K2" s="3"/>
      <c r="L2" s="3"/>
    </row>
    <row r="3" spans="2:12" x14ac:dyDescent="0.3">
      <c r="C3" s="3"/>
      <c r="D3" s="3"/>
      <c r="G3" s="3"/>
      <c r="H3" s="3"/>
      <c r="K3" s="9"/>
      <c r="L3" s="9"/>
    </row>
    <row r="4" spans="2:12" x14ac:dyDescent="0.3">
      <c r="B4" s="1" t="s">
        <v>1</v>
      </c>
      <c r="C4" s="7">
        <f>B15*0.85</f>
        <v>1.1805555555555555E-2</v>
      </c>
      <c r="D4" s="3"/>
      <c r="F4" s="1" t="s">
        <v>12</v>
      </c>
      <c r="G4" s="7">
        <f>F15*0.85</f>
        <v>1.7708333333333333E-2</v>
      </c>
      <c r="H4" s="3"/>
      <c r="J4" s="8" t="s">
        <v>13</v>
      </c>
      <c r="K4" s="12">
        <f>J15*0.85</f>
        <v>2.9513888888888888E-2</v>
      </c>
      <c r="L4" s="13"/>
    </row>
    <row r="5" spans="2:12" x14ac:dyDescent="0.3">
      <c r="B5" t="s">
        <v>5</v>
      </c>
      <c r="C5" s="4">
        <v>1.2731481481481481E-2</v>
      </c>
      <c r="D5" s="5">
        <f>(C5-B$15)/B$15</f>
        <v>-8.3333333333333329E-2</v>
      </c>
      <c r="F5" t="s">
        <v>157</v>
      </c>
      <c r="G5" s="4">
        <v>1.7222222222222222E-2</v>
      </c>
      <c r="H5" s="5">
        <f>(G5-F$15)/F$15</f>
        <v>-0.17333333333333328</v>
      </c>
      <c r="J5" s="10" t="s">
        <v>153</v>
      </c>
      <c r="K5" s="11">
        <v>2.613425925925926E-2</v>
      </c>
      <c r="L5" s="5">
        <f t="shared" ref="L5:L14" si="0">(K5-J$15)/J$15</f>
        <v>-0.24733333333333335</v>
      </c>
    </row>
    <row r="6" spans="2:12" x14ac:dyDescent="0.3">
      <c r="B6" t="s">
        <v>163</v>
      </c>
      <c r="C6" s="4">
        <v>1.2824074074074073E-2</v>
      </c>
      <c r="D6" s="5">
        <f t="shared" ref="D6:D14" si="1">(C6-B$15)/B$15</f>
        <v>-7.6666666666666702E-2</v>
      </c>
      <c r="F6" t="s">
        <v>16</v>
      </c>
      <c r="G6" s="4">
        <v>1.832175925925926E-2</v>
      </c>
      <c r="H6" s="5">
        <f t="shared" ref="H6:H12" si="2">(G6-F$15)/F$15</f>
        <v>-0.12055555555555547</v>
      </c>
      <c r="J6" s="10" t="s">
        <v>24</v>
      </c>
      <c r="K6" s="11">
        <v>2.7222222222222228E-2</v>
      </c>
      <c r="L6" s="5">
        <f t="shared" si="0"/>
        <v>-0.21599999999999989</v>
      </c>
    </row>
    <row r="7" spans="2:12" x14ac:dyDescent="0.3">
      <c r="B7" t="s">
        <v>164</v>
      </c>
      <c r="C7" s="4">
        <v>1.2951388888888887E-2</v>
      </c>
      <c r="D7" s="5">
        <f t="shared" si="1"/>
        <v>-6.750000000000006E-2</v>
      </c>
      <c r="F7" t="s">
        <v>159</v>
      </c>
      <c r="G7" s="4">
        <v>1.8865740740740742E-2</v>
      </c>
      <c r="H7" s="5">
        <f t="shared" si="2"/>
        <v>-9.4444444444444331E-2</v>
      </c>
      <c r="J7" s="10" t="s">
        <v>83</v>
      </c>
      <c r="K7" s="11">
        <v>2.8043981481481479E-2</v>
      </c>
      <c r="L7" s="5">
        <f t="shared" si="0"/>
        <v>-0.19233333333333344</v>
      </c>
    </row>
    <row r="8" spans="2:12" x14ac:dyDescent="0.3">
      <c r="B8" t="s">
        <v>127</v>
      </c>
      <c r="C8" s="4">
        <v>1.3611111111111114E-2</v>
      </c>
      <c r="D8" s="5">
        <f t="shared" si="1"/>
        <v>-1.9999999999999754E-2</v>
      </c>
      <c r="F8" t="s">
        <v>160</v>
      </c>
      <c r="G8" s="4">
        <v>1.9837962962962963E-2</v>
      </c>
      <c r="H8" s="5">
        <f t="shared" si="2"/>
        <v>-4.7777777777777697E-2</v>
      </c>
      <c r="J8" s="10" t="s">
        <v>31</v>
      </c>
      <c r="K8" s="14">
        <v>2.8483796296296295E-2</v>
      </c>
      <c r="L8" s="5">
        <f t="shared" si="0"/>
        <v>-0.17966666666666672</v>
      </c>
    </row>
    <row r="9" spans="2:12" x14ac:dyDescent="0.3">
      <c r="B9" t="s">
        <v>165</v>
      </c>
      <c r="C9" s="4">
        <v>1.4120370370370368E-2</v>
      </c>
      <c r="D9" s="5">
        <f t="shared" si="1"/>
        <v>1.6666666666666566E-2</v>
      </c>
      <c r="F9" t="s">
        <v>158</v>
      </c>
      <c r="G9" s="4">
        <v>2.0092592592592592E-2</v>
      </c>
      <c r="H9" s="5">
        <f t="shared" si="2"/>
        <v>-3.5555555555555507E-2</v>
      </c>
      <c r="J9" s="10" t="s">
        <v>154</v>
      </c>
      <c r="K9" s="11">
        <v>2.8819444444444443E-2</v>
      </c>
      <c r="L9" s="5">
        <f t="shared" si="0"/>
        <v>-0.1700000000000001</v>
      </c>
    </row>
    <row r="10" spans="2:12" x14ac:dyDescent="0.3">
      <c r="B10" t="s">
        <v>166</v>
      </c>
      <c r="C10" s="4">
        <v>1.4212962962962962E-2</v>
      </c>
      <c r="D10" s="5">
        <f t="shared" si="1"/>
        <v>2.3333333333333317E-2</v>
      </c>
      <c r="F10" t="s">
        <v>19</v>
      </c>
      <c r="G10" s="4">
        <v>2.013888888888889E-2</v>
      </c>
      <c r="H10" s="5">
        <f t="shared" si="2"/>
        <v>-3.3333333333333215E-2</v>
      </c>
      <c r="J10" s="10" t="s">
        <v>39</v>
      </c>
      <c r="K10" s="11">
        <v>2.8923611111111108E-2</v>
      </c>
      <c r="L10" s="5">
        <f t="shared" si="0"/>
        <v>-0.16700000000000012</v>
      </c>
    </row>
    <row r="11" spans="2:12" x14ac:dyDescent="0.3">
      <c r="B11" t="s">
        <v>167</v>
      </c>
      <c r="C11" s="4">
        <v>1.5081018518518516E-2</v>
      </c>
      <c r="D11" s="5">
        <f t="shared" si="1"/>
        <v>8.583333333333322E-2</v>
      </c>
      <c r="F11" t="s">
        <v>162</v>
      </c>
      <c r="G11" s="4">
        <v>2.045138888888889E-2</v>
      </c>
      <c r="H11" s="5">
        <f t="shared" si="2"/>
        <v>-1.8333333333333202E-2</v>
      </c>
      <c r="J11" s="19" t="s">
        <v>156</v>
      </c>
      <c r="K11" s="11">
        <v>2.9444444444444443E-2</v>
      </c>
      <c r="L11" s="5">
        <f t="shared" si="0"/>
        <v>-0.15200000000000008</v>
      </c>
    </row>
    <row r="12" spans="2:12" x14ac:dyDescent="0.3">
      <c r="B12" t="s">
        <v>168</v>
      </c>
      <c r="C12" s="4">
        <v>1.5138888888888889E-2</v>
      </c>
      <c r="D12" s="5">
        <f t="shared" si="1"/>
        <v>9.000000000000008E-2</v>
      </c>
      <c r="F12" t="s">
        <v>161</v>
      </c>
      <c r="G12" s="4">
        <v>2.0497685185185185E-2</v>
      </c>
      <c r="H12" s="5">
        <f t="shared" si="2"/>
        <v>-1.6111111111111076E-2</v>
      </c>
      <c r="J12" s="17" t="s">
        <v>110</v>
      </c>
      <c r="K12" s="11">
        <v>2.9641203703703701E-2</v>
      </c>
      <c r="L12" s="5">
        <f t="shared" si="0"/>
        <v>-0.14633333333333345</v>
      </c>
    </row>
    <row r="13" spans="2:12" x14ac:dyDescent="0.3">
      <c r="B13" t="s">
        <v>69</v>
      </c>
      <c r="C13" s="4">
        <v>1.5162037037037036E-2</v>
      </c>
      <c r="D13" s="5">
        <f t="shared" si="1"/>
        <v>9.1666666666666674E-2</v>
      </c>
      <c r="F13" t="s">
        <v>136</v>
      </c>
      <c r="G13" s="4">
        <v>2.056712962962963E-2</v>
      </c>
      <c r="H13" s="5">
        <f>(G13-F$15)/F$15</f>
        <v>-1.2777777777777721E-2</v>
      </c>
      <c r="J13" s="17" t="s">
        <v>20</v>
      </c>
      <c r="K13" s="11">
        <v>2.990740740740741E-2</v>
      </c>
      <c r="L13" s="5">
        <f t="shared" si="0"/>
        <v>-0.13866666666666663</v>
      </c>
    </row>
    <row r="14" spans="2:12" x14ac:dyDescent="0.3">
      <c r="B14" s="18" t="s">
        <v>169</v>
      </c>
      <c r="C14" s="4">
        <v>1.5208333333333332E-2</v>
      </c>
      <c r="D14" s="5">
        <f t="shared" si="1"/>
        <v>9.4999999999999987E-2</v>
      </c>
      <c r="F14" t="s">
        <v>89</v>
      </c>
      <c r="G14" s="4">
        <v>2.0752314814814814E-2</v>
      </c>
      <c r="H14" s="5">
        <f>(G14-F$15)/F$15</f>
        <v>-3.8888888888888862E-3</v>
      </c>
      <c r="J14" s="10" t="s">
        <v>155</v>
      </c>
      <c r="K14" s="11">
        <v>3.0335648148148143E-2</v>
      </c>
      <c r="L14" s="5">
        <f t="shared" si="0"/>
        <v>-0.12633333333333352</v>
      </c>
    </row>
    <row r="15" spans="2:12" x14ac:dyDescent="0.3">
      <c r="B15" s="6">
        <v>1.3888888888888888E-2</v>
      </c>
      <c r="C15" s="3"/>
      <c r="F15" s="6">
        <v>2.0833333333333332E-2</v>
      </c>
      <c r="G15" s="3"/>
      <c r="J15" s="6">
        <v>3.4722222222222224E-2</v>
      </c>
      <c r="K15" s="3"/>
    </row>
    <row r="16" spans="2:12" x14ac:dyDescent="0.3">
      <c r="C16" s="3"/>
      <c r="G16" s="3"/>
      <c r="K16" s="3"/>
    </row>
    <row r="17" spans="2:12" x14ac:dyDescent="0.3">
      <c r="B17" s="1" t="s">
        <v>34</v>
      </c>
      <c r="C17" s="7">
        <f>B28*0.85</f>
        <v>1.1805555555555555E-2</v>
      </c>
      <c r="F17" s="1" t="s">
        <v>35</v>
      </c>
      <c r="G17" s="7">
        <f>F28*0.85</f>
        <v>1.7708333333333333E-2</v>
      </c>
      <c r="J17" s="1" t="s">
        <v>36</v>
      </c>
      <c r="K17" s="7">
        <f>J28*0.85</f>
        <v>2.361111111111111E-2</v>
      </c>
    </row>
    <row r="18" spans="2:12" x14ac:dyDescent="0.3">
      <c r="B18" t="s">
        <v>177</v>
      </c>
      <c r="C18" s="4">
        <v>1.3495370370370371E-2</v>
      </c>
      <c r="D18" s="5">
        <f>(C18-B$28)/B$28</f>
        <v>-2.8333333333333224E-2</v>
      </c>
      <c r="F18" t="s">
        <v>187</v>
      </c>
      <c r="G18" s="4">
        <v>1.8993055555555558E-2</v>
      </c>
      <c r="H18" s="5">
        <f>(G18-F$28)/F$28</f>
        <v>-8.8333333333333153E-2</v>
      </c>
      <c r="J18" t="s">
        <v>42</v>
      </c>
      <c r="K18" s="4">
        <v>2.2777777777777775E-2</v>
      </c>
      <c r="L18" s="5">
        <f>(K18-J$28)/J$28</f>
        <v>-0.18000000000000005</v>
      </c>
    </row>
    <row r="19" spans="2:12" x14ac:dyDescent="0.3">
      <c r="B19" t="s">
        <v>178</v>
      </c>
      <c r="C19" s="4">
        <v>1.539351851851852E-2</v>
      </c>
      <c r="D19" s="5">
        <f t="shared" ref="D19:D27" si="3">(C19-B$28)/B$28</f>
        <v>0.10833333333333349</v>
      </c>
      <c r="F19" t="s">
        <v>40</v>
      </c>
      <c r="G19" s="4">
        <v>2.056712962962963E-2</v>
      </c>
      <c r="H19" s="5">
        <f t="shared" ref="H19:H27" si="4">(G19-F$28)/F$28</f>
        <v>-1.2777777777777721E-2</v>
      </c>
      <c r="J19" t="s">
        <v>170</v>
      </c>
      <c r="K19" s="4">
        <v>2.4930555555555553E-2</v>
      </c>
      <c r="L19" s="5">
        <f t="shared" ref="L19:L27" si="5">(K19-J$28)/J$28</f>
        <v>-0.10250000000000004</v>
      </c>
    </row>
    <row r="20" spans="2:12" x14ac:dyDescent="0.3">
      <c r="B20" t="s">
        <v>179</v>
      </c>
      <c r="C20" s="4">
        <v>1.5532407407407406E-2</v>
      </c>
      <c r="D20" s="5">
        <f t="shared" si="3"/>
        <v>0.1183333333333333</v>
      </c>
      <c r="F20" t="s">
        <v>190</v>
      </c>
      <c r="G20" s="4">
        <v>2.0844907407407406E-2</v>
      </c>
      <c r="H20" s="5">
        <f t="shared" si="4"/>
        <v>5.5555555555553138E-4</v>
      </c>
      <c r="J20" t="s">
        <v>172</v>
      </c>
      <c r="K20" s="4">
        <v>2.5185185185185185E-2</v>
      </c>
      <c r="L20" s="5">
        <f t="shared" si="5"/>
        <v>-9.3333333333333268E-2</v>
      </c>
    </row>
    <row r="21" spans="2:12" x14ac:dyDescent="0.3">
      <c r="B21" t="s">
        <v>180</v>
      </c>
      <c r="C21" s="4">
        <v>1.5995370370370372E-2</v>
      </c>
      <c r="D21" s="5">
        <f t="shared" si="3"/>
        <v>0.15166666666666681</v>
      </c>
      <c r="F21" t="s">
        <v>188</v>
      </c>
      <c r="G21" s="4">
        <v>2.0914351851851851E-2</v>
      </c>
      <c r="H21" s="5">
        <f t="shared" si="4"/>
        <v>3.8888888888888862E-3</v>
      </c>
      <c r="J21" t="s">
        <v>171</v>
      </c>
      <c r="K21" s="4">
        <v>2.5243055555555557E-2</v>
      </c>
      <c r="L21" s="5">
        <f t="shared" si="5"/>
        <v>-9.1249999999999901E-2</v>
      </c>
    </row>
    <row r="22" spans="2:12" x14ac:dyDescent="0.3">
      <c r="B22" t="s">
        <v>181</v>
      </c>
      <c r="C22" s="4">
        <v>1.6666666666666666E-2</v>
      </c>
      <c r="D22" s="5">
        <f t="shared" si="3"/>
        <v>0.20000000000000004</v>
      </c>
      <c r="F22" t="s">
        <v>191</v>
      </c>
      <c r="G22" s="4">
        <v>2.1076388888888891E-2</v>
      </c>
      <c r="H22" s="5">
        <f t="shared" si="4"/>
        <v>1.1666666666666825E-2</v>
      </c>
      <c r="J22" t="s">
        <v>173</v>
      </c>
      <c r="K22" s="4">
        <v>2.5312500000000002E-2</v>
      </c>
      <c r="L22" s="5">
        <f>(K22-J$28)/J$28</f>
        <v>-8.8749999999999885E-2</v>
      </c>
    </row>
    <row r="23" spans="2:12" x14ac:dyDescent="0.3">
      <c r="B23" t="s">
        <v>182</v>
      </c>
      <c r="C23" s="4">
        <v>1.6805555555555556E-2</v>
      </c>
      <c r="D23" s="5">
        <f>(C23-B$28)/B$28</f>
        <v>0.2100000000000001</v>
      </c>
      <c r="F23" t="s">
        <v>189</v>
      </c>
      <c r="G23" s="4">
        <v>2.146990740740741E-2</v>
      </c>
      <c r="H23" s="5">
        <f t="shared" si="4"/>
        <v>3.0555555555555725E-2</v>
      </c>
      <c r="J23" t="s">
        <v>23</v>
      </c>
      <c r="K23" s="4">
        <v>2.5567129629629634E-2</v>
      </c>
      <c r="L23" s="5">
        <f>(K23-J$28)/J$28</f>
        <v>-7.9583333333333117E-2</v>
      </c>
    </row>
    <row r="24" spans="2:12" x14ac:dyDescent="0.3">
      <c r="B24" t="s">
        <v>185</v>
      </c>
      <c r="C24" s="4">
        <v>1.699074074074074E-2</v>
      </c>
      <c r="D24" s="5">
        <f>(C24-B$28)/B$28</f>
        <v>0.22333333333333336</v>
      </c>
      <c r="F24" t="s">
        <v>192</v>
      </c>
      <c r="G24" s="4">
        <v>2.1550925925925928E-2</v>
      </c>
      <c r="H24" s="5">
        <f t="shared" si="4"/>
        <v>3.4444444444444611E-2</v>
      </c>
      <c r="J24" t="s">
        <v>129</v>
      </c>
      <c r="K24" s="4">
        <v>2.5590277777777778E-2</v>
      </c>
      <c r="L24" s="5">
        <f>(K24-J$28)/J$28</f>
        <v>-7.8749999999999945E-2</v>
      </c>
    </row>
    <row r="25" spans="2:12" x14ac:dyDescent="0.3">
      <c r="B25" t="s">
        <v>183</v>
      </c>
      <c r="C25" s="4">
        <v>1.7013888888888887E-2</v>
      </c>
      <c r="D25" s="5">
        <f t="shared" si="3"/>
        <v>0.22499999999999995</v>
      </c>
      <c r="F25" t="s">
        <v>193</v>
      </c>
      <c r="G25" s="4">
        <v>2.1597222222222223E-2</v>
      </c>
      <c r="H25" s="5">
        <f t="shared" si="4"/>
        <v>3.6666666666666736E-2</v>
      </c>
      <c r="J25" t="s">
        <v>175</v>
      </c>
      <c r="K25" s="4">
        <v>2.5868055555555557E-2</v>
      </c>
      <c r="L25" s="5">
        <f>(K25-J$28)/J$28</f>
        <v>-6.8749999999999881E-2</v>
      </c>
    </row>
    <row r="26" spans="2:12" x14ac:dyDescent="0.3">
      <c r="B26" t="s">
        <v>184</v>
      </c>
      <c r="C26" s="4">
        <v>1.7337962962962961E-2</v>
      </c>
      <c r="D26" s="5">
        <f t="shared" si="3"/>
        <v>0.24833333333333327</v>
      </c>
      <c r="F26" t="s">
        <v>194</v>
      </c>
      <c r="G26" s="4">
        <v>2.165509259259259E-2</v>
      </c>
      <c r="H26" s="5">
        <f t="shared" si="4"/>
        <v>3.9444444444444393E-2</v>
      </c>
      <c r="J26" t="s">
        <v>176</v>
      </c>
      <c r="K26" s="4">
        <v>2.6018518518518521E-2</v>
      </c>
      <c r="L26" s="5">
        <f>(K26-J$28)/J$28</f>
        <v>-6.33333333333332E-2</v>
      </c>
    </row>
    <row r="27" spans="2:12" x14ac:dyDescent="0.3">
      <c r="B27" t="s">
        <v>186</v>
      </c>
      <c r="C27" s="4">
        <v>1.7650462962962962E-2</v>
      </c>
      <c r="D27" s="5">
        <f t="shared" si="3"/>
        <v>0.27083333333333331</v>
      </c>
      <c r="F27" t="s">
        <v>195</v>
      </c>
      <c r="G27" s="4">
        <v>2.1990740740740741E-2</v>
      </c>
      <c r="H27" s="5">
        <f t="shared" si="4"/>
        <v>5.5555555555555636E-2</v>
      </c>
      <c r="J27" t="s">
        <v>174</v>
      </c>
      <c r="K27" s="4">
        <v>2.6979166666666669E-2</v>
      </c>
      <c r="L27" s="5">
        <f t="shared" si="5"/>
        <v>-2.8749999999999873E-2</v>
      </c>
    </row>
    <row r="28" spans="2:12" x14ac:dyDescent="0.3">
      <c r="B28" s="6">
        <v>1.3888888888888888E-2</v>
      </c>
      <c r="C28" s="3"/>
      <c r="D28" s="5"/>
      <c r="F28" s="6">
        <v>2.0833333333333332E-2</v>
      </c>
      <c r="G28" s="3"/>
      <c r="H28" s="5"/>
      <c r="J28" s="6">
        <v>2.7777777777777776E-2</v>
      </c>
      <c r="K28" s="3"/>
      <c r="L28" s="5"/>
    </row>
    <row r="30" spans="2:12" x14ac:dyDescent="0.3">
      <c r="B30" s="16"/>
      <c r="F30" s="16"/>
    </row>
  </sheetData>
  <conditionalFormatting sqref="D5:D14 D18:D27">
    <cfRule type="cellIs" dxfId="209" priority="13" operator="greaterThanOrEqual">
      <formula>0.25</formula>
    </cfRule>
    <cfRule type="cellIs" dxfId="208" priority="14" operator="between">
      <formula>0.15</formula>
      <formula>0.25</formula>
    </cfRule>
    <cfRule type="cellIs" dxfId="207" priority="15" operator="between">
      <formula>0.05</formula>
      <formula>0.15</formula>
    </cfRule>
    <cfRule type="cellIs" dxfId="206" priority="16" operator="between">
      <formula>-0.05</formula>
      <formula>0.05</formula>
    </cfRule>
    <cfRule type="cellIs" dxfId="205" priority="17" operator="between">
      <formula>-0.15</formula>
      <formula>-0.05</formula>
    </cfRule>
    <cfRule type="cellIs" dxfId="204" priority="18" operator="lessThanOrEqual">
      <formula>-0.15</formula>
    </cfRule>
  </conditionalFormatting>
  <conditionalFormatting sqref="H5:H14 H18:H27">
    <cfRule type="cellIs" dxfId="203" priority="7" operator="greaterThanOrEqual">
      <formula>0.25</formula>
    </cfRule>
    <cfRule type="cellIs" dxfId="202" priority="8" operator="between">
      <formula>0.15</formula>
      <formula>0.25</formula>
    </cfRule>
    <cfRule type="cellIs" dxfId="201" priority="9" operator="between">
      <formula>0.05</formula>
      <formula>0.15</formula>
    </cfRule>
    <cfRule type="cellIs" dxfId="200" priority="10" operator="between">
      <formula>-0.05</formula>
      <formula>0.05</formula>
    </cfRule>
    <cfRule type="cellIs" dxfId="199" priority="11" operator="between">
      <formula>-0.15</formula>
      <formula>-0.05</formula>
    </cfRule>
    <cfRule type="cellIs" dxfId="198" priority="12" operator="lessThanOrEqual">
      <formula>-0.15</formula>
    </cfRule>
  </conditionalFormatting>
  <conditionalFormatting sqref="L5:L14 L18:L27">
    <cfRule type="cellIs" dxfId="197" priority="1" operator="greaterThanOrEqual">
      <formula>0.25</formula>
    </cfRule>
    <cfRule type="cellIs" dxfId="196" priority="2" operator="between">
      <formula>0.15</formula>
      <formula>0.25</formula>
    </cfRule>
    <cfRule type="cellIs" dxfId="195" priority="3" operator="between">
      <formula>0.05</formula>
      <formula>0.15</formula>
    </cfRule>
    <cfRule type="cellIs" dxfId="194" priority="4" operator="between">
      <formula>-0.05</formula>
      <formula>0.05</formula>
    </cfRule>
    <cfRule type="cellIs" dxfId="193" priority="5" operator="between">
      <formula>-0.15</formula>
      <formula>-0.05</formula>
    </cfRule>
    <cfRule type="cellIs" dxfId="192" priority="6" operator="lessThanOrEqual">
      <formula>-0.15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P28"/>
  <sheetViews>
    <sheetView workbookViewId="0"/>
  </sheetViews>
  <sheetFormatPr baseColWidth="10" defaultRowHeight="14.4" x14ac:dyDescent="0.3"/>
  <cols>
    <col min="1" max="1" width="1.6640625" customWidth="1"/>
    <col min="2" max="2" width="21.33203125" customWidth="1"/>
    <col min="6" max="6" width="21.6640625" bestFit="1" customWidth="1"/>
    <col min="10" max="10" width="23.6640625" bestFit="1" customWidth="1"/>
    <col min="14" max="14" width="18.88671875" bestFit="1" customWidth="1"/>
  </cols>
  <sheetData>
    <row r="1" spans="2:12" ht="9.6" customHeight="1" x14ac:dyDescent="0.3">
      <c r="C1" s="3"/>
      <c r="D1" s="3"/>
      <c r="G1" s="3"/>
      <c r="H1" s="3"/>
      <c r="K1" s="3"/>
      <c r="L1" s="3"/>
    </row>
    <row r="2" spans="2:12" x14ac:dyDescent="0.3">
      <c r="B2" s="2" t="s">
        <v>0</v>
      </c>
      <c r="C2" s="3"/>
      <c r="D2" s="3"/>
      <c r="G2" s="3"/>
      <c r="H2" s="3"/>
      <c r="K2" s="3"/>
      <c r="L2" s="3"/>
    </row>
    <row r="3" spans="2:12" x14ac:dyDescent="0.3">
      <c r="C3" s="3"/>
      <c r="D3" s="3"/>
      <c r="G3" s="3"/>
      <c r="H3" s="3"/>
      <c r="K3" s="9"/>
      <c r="L3" s="9"/>
    </row>
    <row r="4" spans="2:12" x14ac:dyDescent="0.3">
      <c r="B4" s="1" t="s">
        <v>1</v>
      </c>
      <c r="C4" s="7">
        <f>B15*0.85</f>
        <v>1.1805555555555555E-2</v>
      </c>
      <c r="D4" s="3"/>
      <c r="F4" s="1" t="s">
        <v>12</v>
      </c>
      <c r="G4" s="7">
        <f>F15*0.85</f>
        <v>1.7708333333333333E-2</v>
      </c>
      <c r="H4" s="3"/>
      <c r="J4" s="8" t="s">
        <v>13</v>
      </c>
      <c r="K4" s="12">
        <f>J15*0.85</f>
        <v>2.9513888888888888E-2</v>
      </c>
      <c r="L4" s="13"/>
    </row>
    <row r="5" spans="2:12" x14ac:dyDescent="0.3">
      <c r="B5" t="s">
        <v>215</v>
      </c>
      <c r="C5" s="4">
        <v>1.2407407407407409E-2</v>
      </c>
      <c r="D5" s="5">
        <f>(C5-B$15)/B$15</f>
        <v>-0.10666666666666652</v>
      </c>
      <c r="F5" t="s">
        <v>106</v>
      </c>
      <c r="G5" s="4">
        <v>1.758101851851852E-2</v>
      </c>
      <c r="H5" s="5">
        <f>(G5-F$15)/F$15</f>
        <v>-0.15611111111111098</v>
      </c>
      <c r="J5" s="20" t="s">
        <v>42</v>
      </c>
      <c r="K5" s="11">
        <v>2.9710648148148149E-2</v>
      </c>
      <c r="L5" s="5">
        <f t="shared" ref="L5:L9" si="0">(K5-J$15)/J$15</f>
        <v>-0.14433333333333334</v>
      </c>
    </row>
    <row r="6" spans="2:12" x14ac:dyDescent="0.3">
      <c r="B6" t="s">
        <v>216</v>
      </c>
      <c r="C6" s="4">
        <v>1.2673611111111109E-2</v>
      </c>
      <c r="D6" s="5">
        <f t="shared" ref="D6:D14" si="1">(C6-B$15)/B$15</f>
        <v>-8.7500000000000064E-2</v>
      </c>
      <c r="F6" t="s">
        <v>158</v>
      </c>
      <c r="G6" s="4">
        <v>1.8310185185185186E-2</v>
      </c>
      <c r="H6" s="5">
        <f t="shared" ref="H6:H12" si="2">(G6-F$15)/F$15</f>
        <v>-0.121111111111111</v>
      </c>
      <c r="J6" s="20" t="s">
        <v>110</v>
      </c>
      <c r="K6" s="11">
        <v>3.0150462962962962E-2</v>
      </c>
      <c r="L6" s="5">
        <f>(K6-J$15)/J$15</f>
        <v>-0.13166666666666674</v>
      </c>
    </row>
    <row r="7" spans="2:12" x14ac:dyDescent="0.3">
      <c r="B7" t="s">
        <v>217</v>
      </c>
      <c r="C7" s="4">
        <v>1.2743055555555556E-2</v>
      </c>
      <c r="D7" s="5">
        <f t="shared" si="1"/>
        <v>-8.2499999999999907E-2</v>
      </c>
      <c r="F7" t="s">
        <v>162</v>
      </c>
      <c r="G7" s="4">
        <v>1.8356481481481481E-2</v>
      </c>
      <c r="H7" s="5">
        <f t="shared" si="2"/>
        <v>-0.11888888888888888</v>
      </c>
      <c r="J7" s="10" t="s">
        <v>82</v>
      </c>
      <c r="K7" s="11">
        <v>3.0543981481481481E-2</v>
      </c>
      <c r="L7" s="5">
        <f t="shared" si="0"/>
        <v>-0.12033333333333339</v>
      </c>
    </row>
    <row r="8" spans="2:12" x14ac:dyDescent="0.3">
      <c r="B8" t="s">
        <v>218</v>
      </c>
      <c r="C8" s="4">
        <v>1.3090277777777779E-2</v>
      </c>
      <c r="D8" s="5">
        <f>(C8-B$15)/B$15</f>
        <v>-5.7499999999999871E-2</v>
      </c>
      <c r="F8" t="s">
        <v>16</v>
      </c>
      <c r="G8" s="4">
        <v>1.8553240740740742E-2</v>
      </c>
      <c r="H8" s="5">
        <f t="shared" si="2"/>
        <v>-0.10944444444444434</v>
      </c>
      <c r="J8" s="10" t="s">
        <v>24</v>
      </c>
      <c r="K8" s="14">
        <v>3.0983796296296297E-2</v>
      </c>
      <c r="L8" s="5">
        <f>(K8-J$15)/J$15</f>
        <v>-0.10766666666666667</v>
      </c>
    </row>
    <row r="9" spans="2:12" x14ac:dyDescent="0.3">
      <c r="B9" t="s">
        <v>219</v>
      </c>
      <c r="C9" s="4">
        <v>1.315972222222222E-2</v>
      </c>
      <c r="D9" s="5">
        <f t="shared" si="1"/>
        <v>-5.2500000000000088E-2</v>
      </c>
      <c r="F9" t="s">
        <v>56</v>
      </c>
      <c r="G9" s="4">
        <v>1.8993055555555558E-2</v>
      </c>
      <c r="H9" s="5">
        <f t="shared" si="2"/>
        <v>-8.8333333333333153E-2</v>
      </c>
      <c r="J9" s="10" t="s">
        <v>20</v>
      </c>
      <c r="K9" s="11">
        <v>3.1041666666666665E-2</v>
      </c>
      <c r="L9" s="5">
        <f t="shared" si="0"/>
        <v>-0.10600000000000008</v>
      </c>
    </row>
    <row r="10" spans="2:12" x14ac:dyDescent="0.3">
      <c r="B10" t="s">
        <v>220</v>
      </c>
      <c r="C10" s="4">
        <v>1.3252314814814814E-2</v>
      </c>
      <c r="D10" s="5">
        <f t="shared" si="1"/>
        <v>-4.5833333333333337E-2</v>
      </c>
      <c r="F10" t="s">
        <v>22</v>
      </c>
      <c r="G10" s="4">
        <v>2.0358796296296295E-2</v>
      </c>
      <c r="H10" s="5">
        <f t="shared" si="2"/>
        <v>-2.2777777777777786E-2</v>
      </c>
      <c r="J10" s="10" t="s">
        <v>203</v>
      </c>
      <c r="K10" s="11">
        <v>3.1284722222222221E-2</v>
      </c>
      <c r="L10" s="5">
        <f>(K10-J$15)/J$15</f>
        <v>-9.9000000000000088E-2</v>
      </c>
    </row>
    <row r="11" spans="2:12" x14ac:dyDescent="0.3">
      <c r="B11" t="s">
        <v>222</v>
      </c>
      <c r="C11" s="4">
        <v>1.3344907407407408E-2</v>
      </c>
      <c r="D11" s="5">
        <f t="shared" si="1"/>
        <v>-3.9166666666666586E-2</v>
      </c>
      <c r="F11" t="s">
        <v>86</v>
      </c>
      <c r="G11" s="4">
        <v>2.0578703703703703E-2</v>
      </c>
      <c r="H11" s="5">
        <f t="shared" si="2"/>
        <v>-1.222222222222219E-2</v>
      </c>
      <c r="J11" s="10" t="s">
        <v>160</v>
      </c>
      <c r="K11" s="11">
        <v>3.229166666666667E-2</v>
      </c>
      <c r="L11" s="5">
        <f>(K11-J$15)/J$15</f>
        <v>-6.9999999999999951E-2</v>
      </c>
    </row>
    <row r="12" spans="2:12" x14ac:dyDescent="0.3">
      <c r="B12" t="s">
        <v>221</v>
      </c>
      <c r="C12" s="4">
        <v>1.3391203703703704E-2</v>
      </c>
      <c r="D12" s="5">
        <f t="shared" si="1"/>
        <v>-3.5833333333333273E-2</v>
      </c>
      <c r="F12" t="s">
        <v>177</v>
      </c>
      <c r="G12" s="4">
        <v>2.1030092592592597E-2</v>
      </c>
      <c r="H12" s="5">
        <f t="shared" si="2"/>
        <v>9.4444444444446995E-3</v>
      </c>
      <c r="J12" s="10" t="s">
        <v>204</v>
      </c>
      <c r="K12" s="11">
        <v>3.2303240740740737E-2</v>
      </c>
      <c r="L12" s="5">
        <f>(K12-J$15)/J$15</f>
        <v>-6.9666666666666835E-2</v>
      </c>
    </row>
    <row r="13" spans="2:12" x14ac:dyDescent="0.3">
      <c r="B13" t="s">
        <v>223</v>
      </c>
      <c r="C13" s="4">
        <v>1.357638888888889E-2</v>
      </c>
      <c r="D13" s="5">
        <f t="shared" si="1"/>
        <v>-2.2499999999999895E-2</v>
      </c>
      <c r="F13" t="s">
        <v>164</v>
      </c>
      <c r="G13" s="4">
        <v>2.1157407407407406E-2</v>
      </c>
      <c r="H13" s="5">
        <f>(G13-F$15)/F$15</f>
        <v>1.5555555555555545E-2</v>
      </c>
      <c r="J13" s="21" t="s">
        <v>196</v>
      </c>
      <c r="K13" s="11">
        <v>3.2314814814814817E-2</v>
      </c>
      <c r="L13" s="5">
        <f>(K13-J$15)/J$15</f>
        <v>-6.9333333333333316E-2</v>
      </c>
    </row>
    <row r="14" spans="2:12" x14ac:dyDescent="0.3">
      <c r="B14" t="s">
        <v>224</v>
      </c>
      <c r="C14" s="4">
        <v>1.3796296296296298E-2</v>
      </c>
      <c r="D14" s="5">
        <f t="shared" si="1"/>
        <v>-6.6666666666665014E-3</v>
      </c>
      <c r="F14" t="s">
        <v>206</v>
      </c>
      <c r="G14" s="4">
        <v>2.1400462962962965E-2</v>
      </c>
      <c r="H14" s="5">
        <f>(G14-F$15)/F$15</f>
        <v>2.722222222222237E-2</v>
      </c>
      <c r="J14" s="20" t="s">
        <v>197</v>
      </c>
      <c r="K14" s="11">
        <v>3.2881944444444443E-2</v>
      </c>
      <c r="L14" s="5">
        <f>(K14-J$15)/J$15</f>
        <v>-5.3000000000000089E-2</v>
      </c>
    </row>
    <row r="15" spans="2:12" x14ac:dyDescent="0.3">
      <c r="B15" s="6">
        <v>1.3888888888888888E-2</v>
      </c>
      <c r="C15" s="3"/>
      <c r="F15" s="6">
        <v>2.0833333333333332E-2</v>
      </c>
      <c r="G15" s="3"/>
      <c r="J15" s="6">
        <v>3.4722222222222224E-2</v>
      </c>
      <c r="K15" s="3"/>
    </row>
    <row r="16" spans="2:12" x14ac:dyDescent="0.3">
      <c r="C16" s="3"/>
      <c r="G16" s="3"/>
      <c r="K16" s="3"/>
    </row>
    <row r="17" spans="2:16" x14ac:dyDescent="0.3">
      <c r="B17" s="1" t="s">
        <v>34</v>
      </c>
      <c r="C17" s="7">
        <f>B28*0.85</f>
        <v>1.1805555555555555E-2</v>
      </c>
      <c r="F17" s="1" t="s">
        <v>35</v>
      </c>
      <c r="G17" s="7">
        <f>F28*0.85</f>
        <v>1.7708333333333333E-2</v>
      </c>
      <c r="J17" s="1" t="s">
        <v>36</v>
      </c>
      <c r="K17" s="7">
        <f>J28*0.85</f>
        <v>2.361111111111111E-2</v>
      </c>
      <c r="N17" s="1"/>
      <c r="O17" s="7"/>
      <c r="P17" s="3"/>
    </row>
    <row r="18" spans="2:16" x14ac:dyDescent="0.3">
      <c r="B18" t="s">
        <v>225</v>
      </c>
      <c r="C18" s="4">
        <v>1.2280092592592592E-2</v>
      </c>
      <c r="D18" s="5">
        <f>(C18-B$28)/B$28</f>
        <v>-0.11583333333333329</v>
      </c>
      <c r="F18" t="s">
        <v>207</v>
      </c>
      <c r="G18" s="4">
        <v>1.9259259259259261E-2</v>
      </c>
      <c r="H18" s="5">
        <f>(G18-F$28)/F$28</f>
        <v>-7.5555555555555431E-2</v>
      </c>
      <c r="J18" t="s">
        <v>111</v>
      </c>
      <c r="K18" s="4">
        <v>2.2118055555555557E-2</v>
      </c>
      <c r="L18" s="5">
        <f>(K18-J$28)/J$28</f>
        <v>-0.20374999999999988</v>
      </c>
      <c r="O18" s="4"/>
      <c r="P18" s="22"/>
    </row>
    <row r="19" spans="2:16" x14ac:dyDescent="0.3">
      <c r="B19" t="s">
        <v>186</v>
      </c>
      <c r="C19" s="4">
        <v>1.2916666666666667E-2</v>
      </c>
      <c r="D19" s="5">
        <f t="shared" ref="D19:D27" si="3">(C19-B$28)/B$28</f>
        <v>-6.9999999999999951E-2</v>
      </c>
      <c r="F19" t="s">
        <v>208</v>
      </c>
      <c r="G19" s="4">
        <v>1.9398148148148147E-2</v>
      </c>
      <c r="H19" s="5">
        <f t="shared" ref="H19:H27" si="4">(G19-F$28)/F$28</f>
        <v>-6.8888888888888888E-2</v>
      </c>
      <c r="J19" t="s">
        <v>198</v>
      </c>
      <c r="K19" s="4">
        <v>2.2546296296296297E-2</v>
      </c>
      <c r="L19" s="5">
        <f t="shared" ref="L19:L27" si="5">(K19-J$28)/J$28</f>
        <v>-0.18833333333333327</v>
      </c>
      <c r="O19" s="4"/>
      <c r="P19" s="15"/>
    </row>
    <row r="20" spans="2:16" x14ac:dyDescent="0.3">
      <c r="B20" t="s">
        <v>226</v>
      </c>
      <c r="C20" s="4">
        <v>1.3715277777777778E-2</v>
      </c>
      <c r="D20" s="5">
        <f t="shared" si="3"/>
        <v>-1.2499999999999956E-2</v>
      </c>
      <c r="F20" t="s">
        <v>209</v>
      </c>
      <c r="G20" s="4">
        <v>1.9432870370370371E-2</v>
      </c>
      <c r="H20" s="5">
        <f t="shared" si="4"/>
        <v>-6.7222222222222128E-2</v>
      </c>
      <c r="J20" t="s">
        <v>114</v>
      </c>
      <c r="K20" s="4">
        <v>2.297453703703704E-2</v>
      </c>
      <c r="L20" s="5">
        <f t="shared" si="5"/>
        <v>-0.17291666666666652</v>
      </c>
      <c r="O20" s="4"/>
      <c r="P20" s="15"/>
    </row>
    <row r="21" spans="2:16" x14ac:dyDescent="0.3">
      <c r="B21" t="s">
        <v>227</v>
      </c>
      <c r="C21" s="4">
        <v>1.383101851851852E-2</v>
      </c>
      <c r="D21" s="5">
        <f t="shared" si="3"/>
        <v>-4.1666666666664853E-3</v>
      </c>
      <c r="F21" t="s">
        <v>210</v>
      </c>
      <c r="G21" s="4">
        <v>1.96875E-2</v>
      </c>
      <c r="H21" s="5">
        <f t="shared" si="4"/>
        <v>-5.4999999999999938E-2</v>
      </c>
      <c r="J21" t="s">
        <v>205</v>
      </c>
      <c r="K21" s="4">
        <v>2.4039351851851853E-2</v>
      </c>
      <c r="L21" s="5">
        <f t="shared" si="5"/>
        <v>-0.13458333333333322</v>
      </c>
      <c r="O21" s="4"/>
      <c r="P21" s="15"/>
    </row>
    <row r="22" spans="2:16" x14ac:dyDescent="0.3">
      <c r="B22" t="s">
        <v>228</v>
      </c>
      <c r="C22" s="4">
        <v>1.3935185185185184E-2</v>
      </c>
      <c r="D22" s="5">
        <f t="shared" si="3"/>
        <v>3.3333333333333132E-3</v>
      </c>
      <c r="F22" t="s">
        <v>192</v>
      </c>
      <c r="G22" s="4">
        <v>1.9756944444444445E-2</v>
      </c>
      <c r="H22" s="5">
        <f t="shared" si="4"/>
        <v>-5.1666666666666583E-2</v>
      </c>
      <c r="J22" t="s">
        <v>199</v>
      </c>
      <c r="K22" s="4">
        <v>2.4108796296296298E-2</v>
      </c>
      <c r="L22" s="5">
        <f>(K22-J$28)/J$28</f>
        <v>-0.13208333333333322</v>
      </c>
      <c r="O22" s="4"/>
      <c r="P22" s="15"/>
    </row>
    <row r="23" spans="2:16" x14ac:dyDescent="0.3">
      <c r="B23" t="s">
        <v>90</v>
      </c>
      <c r="C23" s="4">
        <v>1.4085648148148151E-2</v>
      </c>
      <c r="D23" s="5">
        <f>(C23-B$28)/B$28</f>
        <v>1.4166666666666924E-2</v>
      </c>
      <c r="F23" t="s">
        <v>211</v>
      </c>
      <c r="G23" s="4">
        <v>2.0405092592592593E-2</v>
      </c>
      <c r="H23" s="5">
        <f t="shared" si="4"/>
        <v>-2.0555555555555494E-2</v>
      </c>
      <c r="J23" t="s">
        <v>200</v>
      </c>
      <c r="K23" s="4">
        <v>2.4189814814814817E-2</v>
      </c>
      <c r="L23" s="5">
        <f>(K23-J$28)/J$28</f>
        <v>-0.12916666666666654</v>
      </c>
      <c r="O23" s="4"/>
      <c r="P23" s="15"/>
    </row>
    <row r="24" spans="2:16" x14ac:dyDescent="0.3">
      <c r="B24" t="s">
        <v>229</v>
      </c>
      <c r="C24" s="4">
        <v>1.4097222222222221E-2</v>
      </c>
      <c r="D24" s="5">
        <f>(C24-B$28)/B$28</f>
        <v>1.4999999999999972E-2</v>
      </c>
      <c r="F24" t="s">
        <v>212</v>
      </c>
      <c r="G24" s="4">
        <v>2.074074074074074E-2</v>
      </c>
      <c r="H24" s="5">
        <f t="shared" si="4"/>
        <v>-4.4444444444444176E-3</v>
      </c>
      <c r="J24" t="s">
        <v>166</v>
      </c>
      <c r="K24" s="4">
        <v>2.4212962962962964E-2</v>
      </c>
      <c r="L24" s="5">
        <f>(K24-J$28)/J$28</f>
        <v>-0.12833333333333324</v>
      </c>
      <c r="O24" s="4"/>
      <c r="P24" s="15"/>
    </row>
    <row r="25" spans="2:16" x14ac:dyDescent="0.3">
      <c r="B25" t="s">
        <v>230</v>
      </c>
      <c r="C25" s="4">
        <v>1.4131944444444445E-2</v>
      </c>
      <c r="D25" s="5">
        <f t="shared" si="3"/>
        <v>1.7500000000000113E-2</v>
      </c>
      <c r="F25" t="s">
        <v>213</v>
      </c>
      <c r="G25" s="4">
        <v>2.0752314814814814E-2</v>
      </c>
      <c r="H25" s="5">
        <f t="shared" si="4"/>
        <v>-3.8888888888888862E-3</v>
      </c>
      <c r="J25" t="s">
        <v>117</v>
      </c>
      <c r="K25" s="4">
        <v>2.4236111111111111E-2</v>
      </c>
      <c r="L25" s="5">
        <f>(K25-J$28)/J$28</f>
        <v>-0.12749999999999995</v>
      </c>
      <c r="O25" s="4"/>
      <c r="P25" s="15"/>
    </row>
    <row r="26" spans="2:16" x14ac:dyDescent="0.3">
      <c r="B26" t="s">
        <v>231</v>
      </c>
      <c r="C26" s="4">
        <v>1.4270833333333335E-2</v>
      </c>
      <c r="D26" s="5">
        <f t="shared" si="3"/>
        <v>2.7500000000000177E-2</v>
      </c>
      <c r="F26" t="s">
        <v>214</v>
      </c>
      <c r="G26" s="4">
        <v>2.0972222222222222E-2</v>
      </c>
      <c r="H26" s="5">
        <f t="shared" si="4"/>
        <v>6.6666666666667096E-3</v>
      </c>
      <c r="J26" t="s">
        <v>201</v>
      </c>
      <c r="K26" s="4">
        <v>2.4247685185185181E-2</v>
      </c>
      <c r="L26" s="5">
        <f>(K26-J$28)/J$28</f>
        <v>-0.12708333333333344</v>
      </c>
      <c r="O26" s="4"/>
      <c r="P26" s="15"/>
    </row>
    <row r="27" spans="2:16" x14ac:dyDescent="0.3">
      <c r="B27" t="s">
        <v>232</v>
      </c>
      <c r="C27" s="4">
        <v>1.4351851851851852E-2</v>
      </c>
      <c r="D27" s="5">
        <f t="shared" si="3"/>
        <v>3.3333333333333381E-2</v>
      </c>
      <c r="F27" t="s">
        <v>49</v>
      </c>
      <c r="G27" s="4">
        <v>2.1168981481481483E-2</v>
      </c>
      <c r="H27" s="5">
        <f t="shared" si="4"/>
        <v>1.6111111111111243E-2</v>
      </c>
      <c r="J27" t="s">
        <v>202</v>
      </c>
      <c r="K27" s="4">
        <v>2.4270833333333335E-2</v>
      </c>
      <c r="L27" s="5">
        <f t="shared" si="5"/>
        <v>-0.12624999999999989</v>
      </c>
      <c r="O27" s="4"/>
      <c r="P27" s="15"/>
    </row>
    <row r="28" spans="2:16" x14ac:dyDescent="0.3">
      <c r="B28" s="6">
        <v>1.3888888888888888E-2</v>
      </c>
      <c r="C28" s="3"/>
      <c r="D28" s="5"/>
      <c r="F28" s="6">
        <v>2.0833333333333332E-2</v>
      </c>
      <c r="G28" s="3"/>
      <c r="H28" s="5"/>
      <c r="J28" s="6">
        <v>2.7777777777777776E-2</v>
      </c>
      <c r="K28" s="3"/>
      <c r="L28" s="5"/>
      <c r="N28" s="6"/>
      <c r="O28" s="3"/>
      <c r="P28" s="5"/>
    </row>
  </sheetData>
  <conditionalFormatting sqref="D5:D14 D18:D27">
    <cfRule type="cellIs" dxfId="191" priority="13" operator="greaterThanOrEqual">
      <formula>0.25</formula>
    </cfRule>
    <cfRule type="cellIs" dxfId="190" priority="14" operator="between">
      <formula>0.15</formula>
      <formula>0.25</formula>
    </cfRule>
    <cfRule type="cellIs" dxfId="189" priority="15" operator="between">
      <formula>0.05</formula>
      <formula>0.15</formula>
    </cfRule>
    <cfRule type="cellIs" dxfId="188" priority="16" operator="between">
      <formula>-0.05</formula>
      <formula>0.05</formula>
    </cfRule>
    <cfRule type="cellIs" dxfId="187" priority="17" operator="between">
      <formula>-0.15</formula>
      <formula>-0.05</formula>
    </cfRule>
    <cfRule type="cellIs" dxfId="186" priority="18" operator="lessThanOrEqual">
      <formula>-0.15</formula>
    </cfRule>
  </conditionalFormatting>
  <conditionalFormatting sqref="H5:H14 H18:H27">
    <cfRule type="cellIs" dxfId="185" priority="7" operator="greaterThanOrEqual">
      <formula>0.25</formula>
    </cfRule>
    <cfRule type="cellIs" dxfId="184" priority="8" operator="between">
      <formula>0.15</formula>
      <formula>0.25</formula>
    </cfRule>
    <cfRule type="cellIs" dxfId="183" priority="9" operator="between">
      <formula>0.05</formula>
      <formula>0.15</formula>
    </cfRule>
    <cfRule type="cellIs" dxfId="182" priority="10" operator="between">
      <formula>-0.05</formula>
      <formula>0.05</formula>
    </cfRule>
    <cfRule type="cellIs" dxfId="181" priority="11" operator="between">
      <formula>-0.15</formula>
      <formula>-0.05</formula>
    </cfRule>
    <cfRule type="cellIs" dxfId="180" priority="12" operator="lessThanOrEqual">
      <formula>-0.15</formula>
    </cfRule>
  </conditionalFormatting>
  <conditionalFormatting sqref="L5:L14 L18:L27">
    <cfRule type="cellIs" dxfId="179" priority="1" operator="greaterThanOrEqual">
      <formula>0.25</formula>
    </cfRule>
    <cfRule type="cellIs" dxfId="178" priority="2" operator="between">
      <formula>0.15</formula>
      <formula>0.25</formula>
    </cfRule>
    <cfRule type="cellIs" dxfId="177" priority="3" operator="between">
      <formula>0.05</formula>
      <formula>0.15</formula>
    </cfRule>
    <cfRule type="cellIs" dxfId="176" priority="4" operator="between">
      <formula>-0.05</formula>
      <formula>0.05</formula>
    </cfRule>
    <cfRule type="cellIs" dxfId="175" priority="5" operator="between">
      <formula>-0.15</formula>
      <formula>-0.05</formula>
    </cfRule>
    <cfRule type="cellIs" dxfId="174" priority="6" operator="lessThanOrEqual">
      <formula>-0.15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AAC4-9273-4273-B6DE-CC8CDA17FD2F}">
  <dimension ref="A1"/>
  <sheetViews>
    <sheetView workbookViewId="0">
      <selection activeCell="F6" sqref="F6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54686-06B8-438F-988B-DDE0449E684B}">
  <dimension ref="B1:U26"/>
  <sheetViews>
    <sheetView workbookViewId="0"/>
  </sheetViews>
  <sheetFormatPr baseColWidth="10" defaultRowHeight="14.4" x14ac:dyDescent="0.3"/>
  <cols>
    <col min="1" max="1" width="1.6640625" customWidth="1"/>
    <col min="2" max="2" width="20.21875" customWidth="1"/>
    <col min="3" max="3" width="4.21875" bestFit="1" customWidth="1"/>
    <col min="4" max="4" width="6.6640625" customWidth="1"/>
    <col min="5" max="5" width="7.77734375" customWidth="1"/>
    <col min="6" max="7" width="6.109375" customWidth="1"/>
    <col min="8" max="8" width="5.5546875" customWidth="1"/>
    <col min="9" max="9" width="20.21875" customWidth="1"/>
    <col min="10" max="10" width="4.21875" bestFit="1" customWidth="1"/>
    <col min="11" max="11" width="6.6640625" customWidth="1"/>
    <col min="12" max="12" width="7.77734375" customWidth="1"/>
    <col min="13" max="14" width="6.109375" customWidth="1"/>
    <col min="15" max="15" width="5.5546875" customWidth="1"/>
    <col min="16" max="16" width="20.21875" customWidth="1"/>
    <col min="17" max="17" width="4.21875" bestFit="1" customWidth="1"/>
    <col min="18" max="18" width="6.6640625" customWidth="1"/>
    <col min="19" max="19" width="7.77734375" customWidth="1"/>
    <col min="20" max="20" width="6.109375" customWidth="1"/>
    <col min="21" max="21" width="6.109375" style="1" customWidth="1"/>
    <col min="22" max="22" width="7.77734375" customWidth="1"/>
  </cols>
  <sheetData>
    <row r="1" spans="2:21" ht="9.6" customHeight="1" x14ac:dyDescent="0.3">
      <c r="D1" s="3"/>
      <c r="E1" s="3"/>
      <c r="K1" s="3"/>
      <c r="L1" s="3"/>
      <c r="R1" s="3"/>
      <c r="S1" s="3"/>
    </row>
    <row r="2" spans="2:21" x14ac:dyDescent="0.3">
      <c r="B2" s="24" t="s">
        <v>0</v>
      </c>
      <c r="D2" s="3"/>
      <c r="E2" s="3"/>
      <c r="K2" s="3"/>
      <c r="L2" s="3"/>
      <c r="R2" s="3"/>
      <c r="S2" s="3"/>
    </row>
    <row r="3" spans="2:21" x14ac:dyDescent="0.3">
      <c r="B3" s="24" t="s">
        <v>238</v>
      </c>
      <c r="D3" s="3"/>
      <c r="E3" s="3"/>
      <c r="K3" s="3"/>
      <c r="L3" s="3"/>
      <c r="R3" s="9"/>
      <c r="S3" s="9"/>
    </row>
    <row r="4" spans="2:21" x14ac:dyDescent="0.3">
      <c r="D4" s="3"/>
      <c r="E4" s="3"/>
      <c r="K4" s="3"/>
      <c r="L4" s="3"/>
      <c r="R4" s="9"/>
      <c r="S4" s="3"/>
    </row>
    <row r="5" spans="2:21" x14ac:dyDescent="0.3">
      <c r="B5" s="1" t="s">
        <v>276</v>
      </c>
      <c r="D5" s="31">
        <f>G5*0.85</f>
        <v>1.1805555555555555E-2</v>
      </c>
      <c r="E5">
        <f>3.18+60*0.01</f>
        <v>3.7800000000000002</v>
      </c>
      <c r="F5" s="33">
        <f>D5/E5</f>
        <v>3.1231628453850671E-3</v>
      </c>
      <c r="G5" s="23">
        <v>1.3888888888888888E-2</v>
      </c>
      <c r="I5" s="1" t="s">
        <v>12</v>
      </c>
      <c r="K5" s="31">
        <f>N5*0.85</f>
        <v>1.7708333333333333E-2</v>
      </c>
      <c r="L5">
        <f>4.69+85*0.01</f>
        <v>5.54</v>
      </c>
      <c r="M5" s="33">
        <f>K5/L5</f>
        <v>3.1964500601684718E-3</v>
      </c>
      <c r="N5" s="23">
        <v>2.0833333333333332E-2</v>
      </c>
      <c r="P5" s="8" t="s">
        <v>13</v>
      </c>
      <c r="R5" s="31">
        <f>U5*0.85</f>
        <v>2.9513888888888888E-2</v>
      </c>
      <c r="S5">
        <f>7.73+125*0.01</f>
        <v>8.98</v>
      </c>
      <c r="T5" s="33">
        <f>R5/S5</f>
        <v>3.2866245978718138E-3</v>
      </c>
      <c r="U5" s="23">
        <v>3.4722222222222224E-2</v>
      </c>
    </row>
    <row r="6" spans="2:21" x14ac:dyDescent="0.3">
      <c r="D6" s="4">
        <v>1.5370370370370369E-2</v>
      </c>
      <c r="E6" s="5">
        <f>(D6-D$5)/D$5</f>
        <v>0.30196078431372542</v>
      </c>
      <c r="F6" s="25">
        <f>D6/E$5</f>
        <v>4.0662355477170285E-3</v>
      </c>
      <c r="G6" s="26">
        <f>F6/$T$6</f>
        <v>1.3407897606792631</v>
      </c>
      <c r="K6" s="4">
        <v>1.9594907407407405E-2</v>
      </c>
      <c r="L6" s="5">
        <f>(K6-K$5)/K$5</f>
        <v>0.10653594771241817</v>
      </c>
      <c r="M6" s="25">
        <f>K6/L$5</f>
        <v>3.536986896643936E-3</v>
      </c>
      <c r="N6" s="26">
        <f>M6/$T$6</f>
        <v>1.1662767095082549</v>
      </c>
      <c r="P6" s="20"/>
      <c r="R6" s="11">
        <v>2.7233796296296298E-2</v>
      </c>
      <c r="S6" s="5">
        <f>(R6-R$5)/R$5</f>
        <v>-7.7254901960784245E-2</v>
      </c>
      <c r="T6" s="25">
        <f>R6/S$5</f>
        <v>3.0327167367813247E-3</v>
      </c>
      <c r="U6" s="30">
        <f>T6/$T$6</f>
        <v>1</v>
      </c>
    </row>
    <row r="7" spans="2:21" x14ac:dyDescent="0.3">
      <c r="D7" s="4">
        <v>1.5578703703703704E-2</v>
      </c>
      <c r="E7" s="5">
        <f t="shared" ref="E7:E8" si="0">(D7-D$5)/D$5</f>
        <v>0.31960784313725499</v>
      </c>
      <c r="F7" s="25">
        <f>D7/E$5</f>
        <v>4.1213501861650011E-3</v>
      </c>
      <c r="G7" s="26">
        <f>F7/$T$6</f>
        <v>1.3589631158691933</v>
      </c>
      <c r="K7" s="4">
        <v>0.02</v>
      </c>
      <c r="L7" s="5">
        <f t="shared" ref="L7:L8" si="1">(K7-K$5)/K$5</f>
        <v>0.12941176470588239</v>
      </c>
      <c r="M7" s="25">
        <f>K7/L$5</f>
        <v>3.6101083032490976E-3</v>
      </c>
      <c r="N7" s="26">
        <f>M7/$T$6</f>
        <v>1.1903875688306349</v>
      </c>
      <c r="P7" s="20"/>
      <c r="R7" s="11">
        <v>2.8321759259259258E-2</v>
      </c>
      <c r="S7" s="5">
        <f t="shared" ref="S7:S8" si="2">(R7-R$5)/R$5</f>
        <v>-4.0392156862745103E-2</v>
      </c>
      <c r="T7" s="25">
        <f>R7/S$5</f>
        <v>3.1538707415656188E-3</v>
      </c>
      <c r="U7" s="26">
        <f t="shared" ref="U7:U8" si="3">T7/$T$6</f>
        <v>1.0399490012749681</v>
      </c>
    </row>
    <row r="8" spans="2:21" x14ac:dyDescent="0.3">
      <c r="D8" s="4">
        <v>1.6041666666666666E-2</v>
      </c>
      <c r="E8" s="5">
        <f t="shared" si="0"/>
        <v>0.35882352941176465</v>
      </c>
      <c r="F8" s="25">
        <f>D8/E$5</f>
        <v>4.2438271604938269E-3</v>
      </c>
      <c r="G8" s="26">
        <f>F8/$T$6</f>
        <v>1.3993483496245926</v>
      </c>
      <c r="K8" s="4">
        <v>2.0972222222222222E-2</v>
      </c>
      <c r="L8" s="5">
        <f t="shared" si="1"/>
        <v>0.18431372549019609</v>
      </c>
      <c r="M8" s="25">
        <f>K8/L$5</f>
        <v>3.785599679101484E-3</v>
      </c>
      <c r="N8" s="26">
        <f>M8/$T$6</f>
        <v>1.2482536312043462</v>
      </c>
      <c r="P8" s="10"/>
      <c r="R8" s="11">
        <v>2.8761574074074075E-2</v>
      </c>
      <c r="S8" s="5">
        <f t="shared" si="2"/>
        <v>-2.549019607843132E-2</v>
      </c>
      <c r="T8" s="25">
        <f>R8/S$5</f>
        <v>3.2028478924358656E-3</v>
      </c>
      <c r="U8" s="26">
        <f t="shared" si="3"/>
        <v>1.0560985975350616</v>
      </c>
    </row>
    <row r="9" spans="2:21" x14ac:dyDescent="0.3">
      <c r="D9" s="3"/>
      <c r="E9" s="5"/>
      <c r="G9" s="1"/>
      <c r="K9" s="3"/>
      <c r="L9" s="5"/>
      <c r="N9" s="1"/>
      <c r="R9" s="3"/>
      <c r="S9" s="5"/>
    </row>
    <row r="10" spans="2:21" x14ac:dyDescent="0.3">
      <c r="D10" s="3"/>
      <c r="E10" s="3"/>
      <c r="G10" s="1"/>
      <c r="K10" s="3"/>
      <c r="L10" s="3"/>
      <c r="N10" s="1"/>
      <c r="R10" s="3"/>
      <c r="S10" s="3"/>
    </row>
    <row r="11" spans="2:21" x14ac:dyDescent="0.3">
      <c r="B11" s="1" t="s">
        <v>277</v>
      </c>
      <c r="D11" s="31">
        <f>G11*0.85</f>
        <v>1.1805555555555555E-2</v>
      </c>
      <c r="E11">
        <f>3.19+60*0.01</f>
        <v>3.79</v>
      </c>
      <c r="F11" s="33">
        <f>D11/E11</f>
        <v>3.1149223101729698E-3</v>
      </c>
      <c r="G11" s="23">
        <v>1.3888888888888888E-2</v>
      </c>
      <c r="I11" s="1" t="s">
        <v>35</v>
      </c>
      <c r="K11" s="31">
        <f>N11*0.85</f>
        <v>1.7708333333333333E-2</v>
      </c>
      <c r="L11">
        <f>4.6+85*0.01</f>
        <v>5.4499999999999993</v>
      </c>
      <c r="M11" s="33">
        <f>K11/L11</f>
        <v>3.2492354740061165E-3</v>
      </c>
      <c r="N11" s="23">
        <v>2.0833333333333332E-2</v>
      </c>
      <c r="P11" s="1" t="s">
        <v>36</v>
      </c>
      <c r="R11" s="31">
        <f>U11*0.85</f>
        <v>2.361111111111111E-2</v>
      </c>
      <c r="S11">
        <f>6.18+100*0.01</f>
        <v>7.18</v>
      </c>
      <c r="T11" s="33">
        <f>R11/S11</f>
        <v>3.288455586505726E-3</v>
      </c>
      <c r="U11" s="23">
        <v>2.7777777777777776E-2</v>
      </c>
    </row>
    <row r="12" spans="2:21" x14ac:dyDescent="0.3">
      <c r="D12" s="4">
        <v>1.53125E-2</v>
      </c>
      <c r="E12" s="5">
        <f>(D12-D$5)/D$5</f>
        <v>0.29705882352941176</v>
      </c>
      <c r="F12" s="25">
        <f>D12/E$11</f>
        <v>4.0402374670184694E-3</v>
      </c>
      <c r="G12" s="26">
        <f>F12/$T$6</f>
        <v>1.3322172222739286</v>
      </c>
      <c r="K12" s="4">
        <v>1.9467592592592595E-2</v>
      </c>
      <c r="L12" s="5">
        <f>(K12-K$5)/K$5</f>
        <v>9.9346405228758358E-2</v>
      </c>
      <c r="M12" s="25">
        <f>K12/L$11</f>
        <v>3.572035338090385E-3</v>
      </c>
      <c r="N12" s="26">
        <f>M12/$T$6</f>
        <v>1.1778334899425682</v>
      </c>
      <c r="R12" s="4">
        <v>2.1400462962962965E-2</v>
      </c>
      <c r="S12" s="5">
        <f>(R12-R$11)/R$11</f>
        <v>-9.3627450980392046E-2</v>
      </c>
      <c r="T12" s="25">
        <f>R12/S$11</f>
        <v>2.9805658722789645E-3</v>
      </c>
      <c r="U12" s="26">
        <f>T12/$T$6</f>
        <v>0.98280391179635562</v>
      </c>
    </row>
    <row r="13" spans="2:21" x14ac:dyDescent="0.3">
      <c r="D13" s="4">
        <v>1.554398148148148E-2</v>
      </c>
      <c r="E13" s="5">
        <f t="shared" ref="E13:E14" si="4">(D13-D$5)/D$5</f>
        <v>0.31666666666666654</v>
      </c>
      <c r="F13" s="25">
        <f>D13/E$11</f>
        <v>4.1013143750610768E-3</v>
      </c>
      <c r="G13" s="26">
        <f>F13/$T$6</f>
        <v>1.3523565604791279</v>
      </c>
      <c r="K13" s="4">
        <v>1.9872685185185184E-2</v>
      </c>
      <c r="L13" s="5">
        <f t="shared" ref="L13:L14" si="5">(K13-K$5)/K$5</f>
        <v>0.12222222222222219</v>
      </c>
      <c r="M13" s="25">
        <f>K13/L$11</f>
        <v>3.6463642541624194E-3</v>
      </c>
      <c r="N13" s="26">
        <f>M13/$T$6</f>
        <v>1.2023425102445835</v>
      </c>
      <c r="R13" s="4">
        <v>2.2094907407407407E-2</v>
      </c>
      <c r="S13" s="5">
        <f t="shared" ref="S13:S14" si="6">(R13-R$11)/R$11</f>
        <v>-6.4215686274509798E-2</v>
      </c>
      <c r="T13" s="25">
        <f>R13/S$11</f>
        <v>3.0772851542350149E-3</v>
      </c>
      <c r="U13" s="26">
        <f t="shared" ref="U13:U14" si="7">T13/$T$6</f>
        <v>1.0146958721575137</v>
      </c>
    </row>
    <row r="14" spans="2:21" x14ac:dyDescent="0.3">
      <c r="D14" s="4">
        <v>1.6620370370370372E-2</v>
      </c>
      <c r="E14" s="5">
        <f t="shared" si="4"/>
        <v>0.40784313725490212</v>
      </c>
      <c r="F14" s="25">
        <f>D14/E$11</f>
        <v>4.3853219974592014E-3</v>
      </c>
      <c r="G14" s="26">
        <f>F14/$T$6</f>
        <v>1.4460044831333045</v>
      </c>
      <c r="K14" s="4">
        <v>2.1782407407407407E-2</v>
      </c>
      <c r="L14" s="5">
        <f t="shared" si="5"/>
        <v>0.23006535947712417</v>
      </c>
      <c r="M14" s="25">
        <f>K14/L$11</f>
        <v>3.9967720013591576E-3</v>
      </c>
      <c r="N14" s="26">
        <f>M14/$T$6</f>
        <v>1.3178850345255131</v>
      </c>
      <c r="R14" s="4">
        <v>2.3472222222222217E-2</v>
      </c>
      <c r="S14" s="5">
        <f t="shared" si="6"/>
        <v>-5.8823529411766553E-3</v>
      </c>
      <c r="T14" s="25">
        <f>R14/S$11</f>
        <v>3.2691117301145152E-3</v>
      </c>
      <c r="U14" s="26">
        <f t="shared" si="7"/>
        <v>1.0779482602071437</v>
      </c>
    </row>
    <row r="15" spans="2:21" x14ac:dyDescent="0.3">
      <c r="D15" s="3"/>
      <c r="E15" s="5"/>
      <c r="G15" s="1"/>
      <c r="K15" s="3"/>
      <c r="L15" s="5"/>
      <c r="N15" s="1"/>
      <c r="R15" s="3"/>
      <c r="S15" s="5"/>
    </row>
    <row r="16" spans="2:21" x14ac:dyDescent="0.3">
      <c r="D16" s="3"/>
      <c r="E16" s="5"/>
      <c r="G16" s="1"/>
      <c r="K16" s="3"/>
      <c r="L16" s="5"/>
      <c r="N16" s="1"/>
      <c r="R16" s="3"/>
      <c r="S16" s="5"/>
    </row>
    <row r="17" spans="2:21" x14ac:dyDescent="0.3">
      <c r="B17" s="1" t="s">
        <v>278</v>
      </c>
      <c r="D17" s="31">
        <f>G17*0.85</f>
        <v>1.1805555555555555E-2</v>
      </c>
      <c r="E17">
        <f>2.71+50*0.01</f>
        <v>3.21</v>
      </c>
      <c r="F17" s="33">
        <f>D17/E17</f>
        <v>3.6777431637244722E-3</v>
      </c>
      <c r="G17" s="23">
        <v>1.3888888888888888E-2</v>
      </c>
      <c r="I17" s="1" t="s">
        <v>234</v>
      </c>
      <c r="K17" s="31">
        <f>N17*0.85</f>
        <v>1.7708333333333333E-2</v>
      </c>
      <c r="L17">
        <f>4.29+70*0.01</f>
        <v>4.99</v>
      </c>
      <c r="M17" s="33">
        <f>K17/L17</f>
        <v>3.54876419505678E-3</v>
      </c>
      <c r="N17" s="23">
        <v>2.0833333333333332E-2</v>
      </c>
      <c r="P17" s="8" t="s">
        <v>235</v>
      </c>
      <c r="R17" s="31">
        <f>U17*0.85</f>
        <v>2.361111111111111E-2</v>
      </c>
      <c r="S17">
        <f>5.72+90*0.01</f>
        <v>6.62</v>
      </c>
      <c r="T17" s="33">
        <f>R17/S17</f>
        <v>3.5666330983551526E-3</v>
      </c>
      <c r="U17" s="23">
        <v>2.7777777777777776E-2</v>
      </c>
    </row>
    <row r="18" spans="2:21" x14ac:dyDescent="0.3">
      <c r="D18" s="4">
        <v>1.2662037037037039E-2</v>
      </c>
      <c r="E18" s="5">
        <f>(D18-D$5)/D$5</f>
        <v>7.2549019607843365E-2</v>
      </c>
      <c r="F18" s="25">
        <f>D18/E$17</f>
        <v>3.9445598246221304E-3</v>
      </c>
      <c r="G18" s="26">
        <f>F18/$T$6</f>
        <v>1.3006687293876844</v>
      </c>
      <c r="K18" s="4">
        <v>1.861111111111111E-2</v>
      </c>
      <c r="L18" s="5">
        <f>(K18-K$5)/K$5</f>
        <v>5.0980392156862682E-2</v>
      </c>
      <c r="M18" s="25">
        <f>K18/L$17</f>
        <v>3.7296815853930078E-3</v>
      </c>
      <c r="N18" s="26">
        <f>M18/$T$6</f>
        <v>1.2298153468006987</v>
      </c>
      <c r="P18" s="20"/>
      <c r="R18" s="11">
        <v>2.3009259259259257E-2</v>
      </c>
      <c r="S18" s="5">
        <f>(R18-R$11)/R$11</f>
        <v>-2.5490196078431438E-2</v>
      </c>
      <c r="T18" s="25">
        <f>R18/S$17</f>
        <v>3.4757189213382562E-3</v>
      </c>
      <c r="U18" s="26">
        <f>T18/$T$6</f>
        <v>1.1460743692888038</v>
      </c>
    </row>
    <row r="19" spans="2:21" x14ac:dyDescent="0.3">
      <c r="D19" s="4">
        <v>1.2673611111111109E-2</v>
      </c>
      <c r="E19" s="5">
        <f t="shared" ref="E19:E20" si="8">(D19-D$5)/D$5</f>
        <v>7.3529411764705774E-2</v>
      </c>
      <c r="F19" s="25">
        <f>D19/E$17</f>
        <v>3.9481654551748006E-3</v>
      </c>
      <c r="G19" s="26">
        <f>F19/$T$6</f>
        <v>1.3018576404748758</v>
      </c>
      <c r="K19" s="4">
        <v>1.9594907407407405E-2</v>
      </c>
      <c r="L19" s="5">
        <f t="shared" ref="L19:L20" si="9">(K19-K$5)/K$5</f>
        <v>0.10653594771241817</v>
      </c>
      <c r="M19" s="25">
        <f>K19/L$17</f>
        <v>3.9268351517850507E-3</v>
      </c>
      <c r="N19" s="26">
        <f>M19/$T$6</f>
        <v>1.2948242426203871</v>
      </c>
      <c r="P19" s="20"/>
      <c r="R19" s="11">
        <v>2.4328703703703703E-2</v>
      </c>
      <c r="S19" s="5">
        <f t="shared" ref="S19:S20" si="10">(R19-R$11)/R$11</f>
        <v>3.0392156862745098E-2</v>
      </c>
      <c r="T19" s="25">
        <f>R19/S$17</f>
        <v>3.675030770952221E-3</v>
      </c>
      <c r="U19" s="26">
        <f t="shared" ref="U19:U20" si="11">T19/$T$6</f>
        <v>1.2117949317128098</v>
      </c>
    </row>
    <row r="20" spans="2:21" x14ac:dyDescent="0.3">
      <c r="D20" s="4">
        <v>1.3414351851851851E-2</v>
      </c>
      <c r="E20" s="5">
        <f t="shared" si="8"/>
        <v>0.13627450980392153</v>
      </c>
      <c r="F20" s="25">
        <f>D20/E$17</f>
        <v>4.1789258105457477E-3</v>
      </c>
      <c r="G20" s="26">
        <f>F20/$T$6</f>
        <v>1.3779479500551426</v>
      </c>
      <c r="K20" s="4">
        <v>1.9780092592592592E-2</v>
      </c>
      <c r="L20" s="5">
        <f t="shared" si="9"/>
        <v>0.11699346405228758</v>
      </c>
      <c r="M20" s="25">
        <f>K20/L$17</f>
        <v>3.963946411341201E-3</v>
      </c>
      <c r="N20" s="26">
        <f>M20/$T$6</f>
        <v>1.30706121124527</v>
      </c>
      <c r="P20" s="10"/>
      <c r="R20" s="11">
        <v>2.4560185185185185E-2</v>
      </c>
      <c r="S20" s="5">
        <f t="shared" si="10"/>
        <v>4.0196078431372566E-2</v>
      </c>
      <c r="T20" s="25">
        <f>R20/S$17</f>
        <v>3.7099977621125658E-3</v>
      </c>
      <c r="U20" s="26">
        <f t="shared" si="11"/>
        <v>1.2233248549450917</v>
      </c>
    </row>
    <row r="21" spans="2:21" x14ac:dyDescent="0.3">
      <c r="D21" s="3"/>
      <c r="E21" s="5"/>
      <c r="G21" s="1"/>
      <c r="K21" s="3"/>
      <c r="L21" s="5"/>
      <c r="N21" s="1"/>
      <c r="R21" s="3"/>
      <c r="S21" s="5"/>
    </row>
    <row r="22" spans="2:21" x14ac:dyDescent="0.3">
      <c r="D22" s="3"/>
      <c r="E22" s="3"/>
      <c r="G22" s="1"/>
      <c r="K22" s="3"/>
      <c r="L22" s="3"/>
      <c r="N22" s="1"/>
      <c r="R22" s="3"/>
      <c r="S22" s="3"/>
    </row>
    <row r="23" spans="2:21" x14ac:dyDescent="0.3">
      <c r="B23" s="1" t="s">
        <v>279</v>
      </c>
      <c r="D23" s="31">
        <f>G23*0.85</f>
        <v>1.1805555555555555E-2</v>
      </c>
      <c r="E23">
        <f>2.66+50*0.01</f>
        <v>3.16</v>
      </c>
      <c r="F23" s="33">
        <f>D23/E23</f>
        <v>3.7359353023909982E-3</v>
      </c>
      <c r="G23" s="23">
        <v>1.3888888888888888E-2</v>
      </c>
      <c r="I23" s="1" t="s">
        <v>236</v>
      </c>
      <c r="K23" s="31">
        <f>N23*0.85</f>
        <v>1.7708333333333333E-2</v>
      </c>
      <c r="L23">
        <f>4.13+70*0.01</f>
        <v>4.83</v>
      </c>
      <c r="M23" s="33">
        <f>K23/L23</f>
        <v>3.6663216011042095E-3</v>
      </c>
      <c r="N23" s="23">
        <v>2.0833333333333332E-2</v>
      </c>
      <c r="P23" s="1" t="s">
        <v>237</v>
      </c>
      <c r="R23" s="31">
        <f>U23*0.85</f>
        <v>2.361111111111111E-2</v>
      </c>
      <c r="S23">
        <f>5.26+80*0.01</f>
        <v>6.06</v>
      </c>
      <c r="T23" s="33">
        <f>R23/S23</f>
        <v>3.8962229556288963E-3</v>
      </c>
      <c r="U23" s="23">
        <v>2.7777777777777776E-2</v>
      </c>
    </row>
    <row r="24" spans="2:21" x14ac:dyDescent="0.3">
      <c r="D24" s="4">
        <v>1.0046296296296296E-2</v>
      </c>
      <c r="E24" s="5">
        <f>(D24-D$5)/D$5</f>
        <v>-0.14901960784313723</v>
      </c>
      <c r="F24" s="25">
        <f>D24/E$23</f>
        <v>3.1792076887013593E-3</v>
      </c>
      <c r="G24" s="26">
        <f>F24/$T$6</f>
        <v>1.0483035392469617</v>
      </c>
      <c r="K24" s="4">
        <v>1.7476851851851851E-2</v>
      </c>
      <c r="L24" s="5">
        <f>(K24-K$5)/K$5</f>
        <v>-1.3071895424836621E-2</v>
      </c>
      <c r="M24" s="25">
        <f>K24/L$23</f>
        <v>3.6183958285407559E-3</v>
      </c>
      <c r="N24" s="26">
        <f>M24/$T$6</f>
        <v>1.1931202755127808</v>
      </c>
      <c r="R24" s="4">
        <v>2.1921296296296296E-2</v>
      </c>
      <c r="S24" s="5">
        <f>(R24-R$11)/R$11</f>
        <v>-7.156862745098036E-2</v>
      </c>
      <c r="T24" s="25">
        <f>R24/S$23</f>
        <v>3.6173756264515342E-3</v>
      </c>
      <c r="U24" s="26">
        <f>T24/$T$6</f>
        <v>1.1927838767727177</v>
      </c>
    </row>
    <row r="25" spans="2:21" x14ac:dyDescent="0.3">
      <c r="D25" s="4">
        <v>1.1284722222222222E-2</v>
      </c>
      <c r="E25" s="5">
        <f t="shared" ref="E25:E26" si="12">(D25-D$5)/D$5</f>
        <v>-4.4117647058823518E-2</v>
      </c>
      <c r="F25" s="25">
        <f>D25/E$23</f>
        <v>3.5711146272855133E-3</v>
      </c>
      <c r="G25" s="26">
        <f>F25/$T$6</f>
        <v>1.1775298971956081</v>
      </c>
      <c r="K25" s="4">
        <v>1.758101851851852E-2</v>
      </c>
      <c r="L25" s="5">
        <f t="shared" ref="L25:L26" si="13">(K25-K$5)/K$5</f>
        <v>-7.1895424836600141E-3</v>
      </c>
      <c r="M25" s="25">
        <f>K25/L$23</f>
        <v>3.6399624261943104E-3</v>
      </c>
      <c r="N25" s="26">
        <f>M25/$T$6</f>
        <v>1.2002315884131882</v>
      </c>
      <c r="R25" s="4">
        <v>2.3460648148148147E-2</v>
      </c>
      <c r="S25" s="5">
        <f t="shared" ref="S25:S26" si="14">(R25-R$11)/R$11</f>
        <v>-6.3725490196078595E-3</v>
      </c>
      <c r="T25" s="25">
        <f>R25/S$23</f>
        <v>3.8713940838528299E-3</v>
      </c>
      <c r="U25" s="26">
        <f t="shared" ref="U25:U26" si="15">T25/$T$6</f>
        <v>1.2765432514352157</v>
      </c>
    </row>
    <row r="26" spans="2:21" x14ac:dyDescent="0.3">
      <c r="D26" s="4">
        <v>1.1400462962962965E-2</v>
      </c>
      <c r="E26" s="5">
        <f t="shared" si="12"/>
        <v>-3.4313725490195908E-2</v>
      </c>
      <c r="F26" s="25">
        <f>D26/E$23</f>
        <v>3.6077414439756217E-3</v>
      </c>
      <c r="G26" s="26">
        <f>F26/$T$6</f>
        <v>1.1896071269104349</v>
      </c>
      <c r="K26" s="4">
        <v>1.7777777777777778E-2</v>
      </c>
      <c r="L26" s="5">
        <f t="shared" si="13"/>
        <v>3.9215686274510055E-3</v>
      </c>
      <c r="M26" s="25">
        <f>K26/L$23</f>
        <v>3.6806993328732458E-3</v>
      </c>
      <c r="N26" s="26">
        <f>M26/$T$6</f>
        <v>1.2136640683361797</v>
      </c>
      <c r="R26" s="4">
        <v>2.3935185185185184E-2</v>
      </c>
      <c r="S26" s="5">
        <f t="shared" si="14"/>
        <v>1.3725490196078423E-2</v>
      </c>
      <c r="T26" s="25">
        <f>R26/S$23</f>
        <v>3.9497005256081165E-3</v>
      </c>
      <c r="U26" s="26">
        <f t="shared" si="15"/>
        <v>1.3023638105417001</v>
      </c>
    </row>
  </sheetData>
  <conditionalFormatting sqref="E6:E8 E12:E14 E18:E20 E24:E26">
    <cfRule type="cellIs" dxfId="173" priority="13" operator="greaterThanOrEqual">
      <formula>0.25</formula>
    </cfRule>
    <cfRule type="cellIs" dxfId="172" priority="14" operator="between">
      <formula>0.15</formula>
      <formula>0.25</formula>
    </cfRule>
    <cfRule type="cellIs" dxfId="171" priority="15" operator="between">
      <formula>0.05</formula>
      <formula>0.15</formula>
    </cfRule>
    <cfRule type="cellIs" dxfId="170" priority="16" operator="between">
      <formula>-0.05</formula>
      <formula>0.05</formula>
    </cfRule>
    <cfRule type="cellIs" dxfId="169" priority="17" operator="between">
      <formula>-0.15</formula>
      <formula>-0.05</formula>
    </cfRule>
    <cfRule type="cellIs" dxfId="168" priority="18" operator="lessThanOrEqual">
      <formula>-0.15</formula>
    </cfRule>
  </conditionalFormatting>
  <conditionalFormatting sqref="L6:L8 L12:L14 L18:L20 L24:L26">
    <cfRule type="cellIs" dxfId="167" priority="7" operator="greaterThanOrEqual">
      <formula>0.25</formula>
    </cfRule>
    <cfRule type="cellIs" dxfId="166" priority="8" operator="between">
      <formula>0.15</formula>
      <formula>0.25</formula>
    </cfRule>
    <cfRule type="cellIs" dxfId="165" priority="9" operator="between">
      <formula>0.05</formula>
      <formula>0.15</formula>
    </cfRule>
    <cfRule type="cellIs" dxfId="164" priority="10" operator="between">
      <formula>-0.05</formula>
      <formula>0.05</formula>
    </cfRule>
    <cfRule type="cellIs" dxfId="163" priority="11" operator="between">
      <formula>-0.15</formula>
      <formula>-0.05</formula>
    </cfRule>
    <cfRule type="cellIs" dxfId="162" priority="12" operator="lessThanOrEqual">
      <formula>-0.15</formula>
    </cfRule>
  </conditionalFormatting>
  <conditionalFormatting sqref="S6:S8 S12:S14 S18:S20 S24:S26">
    <cfRule type="cellIs" dxfId="161" priority="1" operator="greaterThanOrEqual">
      <formula>0.25</formula>
    </cfRule>
    <cfRule type="cellIs" dxfId="160" priority="2" operator="between">
      <formula>0.15</formula>
      <formula>0.25</formula>
    </cfRule>
    <cfRule type="cellIs" dxfId="159" priority="3" operator="between">
      <formula>0.05</formula>
      <formula>0.15</formula>
    </cfRule>
    <cfRule type="cellIs" dxfId="158" priority="4" operator="between">
      <formula>-0.05</formula>
      <formula>0.05</formula>
    </cfRule>
    <cfRule type="cellIs" dxfId="157" priority="5" operator="between">
      <formula>-0.15</formula>
      <formula>-0.05</formula>
    </cfRule>
    <cfRule type="cellIs" dxfId="156" priority="6" operator="lessThanOrEqual">
      <formula>-0.15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32F4B-A2DA-4ECB-AB85-94BA5330C2EA}">
  <dimension ref="B1:Y28"/>
  <sheetViews>
    <sheetView workbookViewId="0"/>
  </sheetViews>
  <sheetFormatPr baseColWidth="10" defaultRowHeight="14.4" x14ac:dyDescent="0.3"/>
  <cols>
    <col min="1" max="1" width="1.6640625" customWidth="1"/>
    <col min="2" max="2" width="20.21875" customWidth="1"/>
    <col min="3" max="3" width="4.21875" bestFit="1" customWidth="1"/>
    <col min="4" max="4" width="6.6640625" customWidth="1"/>
    <col min="5" max="5" width="7.77734375" customWidth="1"/>
    <col min="6" max="6" width="6.109375" customWidth="1"/>
    <col min="7" max="7" width="6.109375" style="1" customWidth="1"/>
    <col min="8" max="8" width="5.5546875" customWidth="1"/>
    <col min="9" max="9" width="20.21875" customWidth="1"/>
    <col min="10" max="10" width="4.21875" bestFit="1" customWidth="1"/>
    <col min="11" max="11" width="6.6640625" customWidth="1"/>
    <col min="12" max="12" width="7.77734375" customWidth="1"/>
    <col min="13" max="13" width="6.109375" customWidth="1"/>
    <col min="14" max="14" width="6.109375" style="1" customWidth="1"/>
    <col min="15" max="15" width="5.5546875" customWidth="1"/>
    <col min="16" max="16" width="20.21875" customWidth="1"/>
    <col min="17" max="17" width="4.21875" bestFit="1" customWidth="1"/>
    <col min="18" max="18" width="6.6640625" customWidth="1"/>
    <col min="19" max="19" width="7.77734375" customWidth="1"/>
    <col min="20" max="20" width="6.109375" customWidth="1"/>
    <col min="21" max="21" width="6.109375" style="1" customWidth="1"/>
    <col min="22" max="22" width="6.6640625" customWidth="1"/>
    <col min="23" max="23" width="7.33203125" bestFit="1" customWidth="1"/>
    <col min="24" max="24" width="7.109375" style="27" bestFit="1" customWidth="1"/>
    <col min="25" max="25" width="7.77734375" style="27" bestFit="1" customWidth="1"/>
  </cols>
  <sheetData>
    <row r="1" spans="2:25" ht="9.6" customHeight="1" x14ac:dyDescent="0.3">
      <c r="D1" s="3"/>
      <c r="E1" s="3"/>
      <c r="K1" s="3"/>
      <c r="L1" s="3"/>
      <c r="R1" s="3"/>
      <c r="S1" s="3"/>
    </row>
    <row r="2" spans="2:25" x14ac:dyDescent="0.3">
      <c r="B2" s="24" t="s">
        <v>0</v>
      </c>
      <c r="D2" s="3"/>
      <c r="E2" s="3"/>
      <c r="K2" s="3"/>
      <c r="L2" s="3"/>
      <c r="R2" s="3"/>
      <c r="S2" s="3"/>
    </row>
    <row r="3" spans="2:25" x14ac:dyDescent="0.3">
      <c r="B3" s="24" t="s">
        <v>238</v>
      </c>
      <c r="D3" s="3"/>
      <c r="E3" s="3"/>
      <c r="K3" s="3"/>
      <c r="L3" s="3"/>
      <c r="R3" s="9"/>
      <c r="S3" s="9"/>
    </row>
    <row r="4" spans="2:25" x14ac:dyDescent="0.3">
      <c r="D4" s="3"/>
      <c r="E4" s="3"/>
      <c r="K4" s="3"/>
      <c r="L4" s="3"/>
      <c r="R4" s="9"/>
      <c r="S4" s="3"/>
    </row>
    <row r="5" spans="2:25" x14ac:dyDescent="0.3">
      <c r="B5" s="1" t="s">
        <v>276</v>
      </c>
      <c r="D5" s="31">
        <f>G5*0.85</f>
        <v>1.1805555555555555E-2</v>
      </c>
      <c r="E5">
        <f>2.84+40*0.01</f>
        <v>3.2399999999999998</v>
      </c>
      <c r="F5" s="33">
        <f>D5/E5</f>
        <v>3.6436899862825789E-3</v>
      </c>
      <c r="G5" s="23">
        <v>1.3888888888888888E-2</v>
      </c>
      <c r="I5" s="1" t="s">
        <v>12</v>
      </c>
      <c r="K5" s="31">
        <f>N5*0.85</f>
        <v>1.7708333333333333E-2</v>
      </c>
      <c r="L5">
        <f>4.68+95*0.01</f>
        <v>5.63</v>
      </c>
      <c r="M5" s="33">
        <f>K5/L5</f>
        <v>3.1453522794552989E-3</v>
      </c>
      <c r="N5" s="23">
        <v>2.0833333333333332E-2</v>
      </c>
      <c r="P5" s="8" t="s">
        <v>13</v>
      </c>
      <c r="R5" s="31">
        <f>U5*0.85</f>
        <v>2.9513888888888888E-2</v>
      </c>
      <c r="S5">
        <f>7.62+180*0.01</f>
        <v>9.42</v>
      </c>
      <c r="T5" s="33">
        <f>R5/S5</f>
        <v>3.1331092238735549E-3</v>
      </c>
      <c r="U5" s="23">
        <v>3.4722222222222224E-2</v>
      </c>
      <c r="W5" s="1" t="s">
        <v>308</v>
      </c>
      <c r="Y5" s="32">
        <v>0.19444444444444445</v>
      </c>
    </row>
    <row r="6" spans="2:25" x14ac:dyDescent="0.3">
      <c r="B6" t="s">
        <v>239</v>
      </c>
      <c r="C6" t="s">
        <v>241</v>
      </c>
      <c r="D6" s="4">
        <v>1.247685185185185E-2</v>
      </c>
      <c r="E6" s="5">
        <f>(D6-D$5)/D$5</f>
        <v>5.6862745098039097E-2</v>
      </c>
      <c r="F6" s="25">
        <f>D6/E$5</f>
        <v>3.850880201188843E-3</v>
      </c>
      <c r="G6" s="26">
        <f>F6/$T$6</f>
        <v>1.1442808270117506</v>
      </c>
      <c r="I6" t="s">
        <v>18</v>
      </c>
      <c r="J6" t="s">
        <v>244</v>
      </c>
      <c r="K6" s="4">
        <v>1.8981481481481481E-2</v>
      </c>
      <c r="L6" s="5">
        <f>(K6-K$5)/K$5</f>
        <v>7.1895424836601315E-2</v>
      </c>
      <c r="M6" s="25">
        <f>K6/L$5</f>
        <v>3.3714887178475099E-3</v>
      </c>
      <c r="N6" s="26">
        <f>M6/$T$6</f>
        <v>1.0018306716288696</v>
      </c>
      <c r="P6" s="20" t="s">
        <v>246</v>
      </c>
      <c r="Q6" t="s">
        <v>244</v>
      </c>
      <c r="R6" s="11">
        <v>3.170138888888889E-2</v>
      </c>
      <c r="S6" s="5">
        <f>(R6-R$5)/R$5</f>
        <v>7.4117647058823594E-2</v>
      </c>
      <c r="T6" s="25">
        <f>R6/S$5</f>
        <v>3.36532790752536E-3</v>
      </c>
      <c r="U6" s="30">
        <f>T6/$T$6</f>
        <v>1</v>
      </c>
      <c r="W6" t="s">
        <v>312</v>
      </c>
      <c r="X6" s="27">
        <v>0.20583333333333331</v>
      </c>
    </row>
    <row r="7" spans="2:25" x14ac:dyDescent="0.3">
      <c r="B7" t="s">
        <v>240</v>
      </c>
      <c r="C7" t="s">
        <v>242</v>
      </c>
      <c r="D7" s="4">
        <v>1.2939814814814814E-2</v>
      </c>
      <c r="E7" s="5">
        <f t="shared" ref="E7:E8" si="0">(D7-D$5)/D$5</f>
        <v>9.6078431372548956E-2</v>
      </c>
      <c r="F7" s="25">
        <f>D7/E$5</f>
        <v>3.9937700045724733E-3</v>
      </c>
      <c r="G7" s="26">
        <f>F7/$T$6</f>
        <v>1.1867402269008693</v>
      </c>
      <c r="I7" t="s">
        <v>56</v>
      </c>
      <c r="J7" t="s">
        <v>244</v>
      </c>
      <c r="K7" s="4">
        <v>2.0069444444444442E-2</v>
      </c>
      <c r="L7" s="5">
        <f t="shared" ref="L7:L8" si="1">(K7-K$5)/K$5</f>
        <v>0.13333333333333322</v>
      </c>
      <c r="M7" s="25">
        <f>K7/L$5</f>
        <v>3.5647325833826717E-3</v>
      </c>
      <c r="N7" s="26">
        <f>M7/$T$6</f>
        <v>1.0592526735393049</v>
      </c>
      <c r="P7" s="20" t="s">
        <v>153</v>
      </c>
      <c r="Q7" t="s">
        <v>247</v>
      </c>
      <c r="R7" s="11">
        <v>3.2187500000000001E-2</v>
      </c>
      <c r="S7" s="5">
        <f t="shared" ref="S7:S8" si="2">(R7-R$5)/R$5</f>
        <v>9.0588235294117705E-2</v>
      </c>
      <c r="T7" s="25">
        <f>R7/S$5</f>
        <v>3.4169320594479831E-3</v>
      </c>
      <c r="U7" s="26">
        <f t="shared" ref="U7:U8" si="3">T7/$T$6</f>
        <v>1.0153340635268346</v>
      </c>
      <c r="W7" t="s">
        <v>318</v>
      </c>
      <c r="X7" s="27">
        <v>0.21030092592592595</v>
      </c>
      <c r="Y7" s="28">
        <f>AVERAGE(X6:X10)</f>
        <v>0.21480555555555556</v>
      </c>
    </row>
    <row r="8" spans="2:25" x14ac:dyDescent="0.3">
      <c r="B8" t="s">
        <v>178</v>
      </c>
      <c r="C8" t="s">
        <v>243</v>
      </c>
      <c r="D8" s="4">
        <v>1.324074074074074E-2</v>
      </c>
      <c r="E8" s="5">
        <f t="shared" si="0"/>
        <v>0.12156862745098039</v>
      </c>
      <c r="F8" s="25">
        <f>D8/E$5</f>
        <v>4.0866483767718334E-3</v>
      </c>
      <c r="G8" s="26">
        <f>F8/$T$6</f>
        <v>1.2143388368287966</v>
      </c>
      <c r="I8" t="s">
        <v>16</v>
      </c>
      <c r="J8" t="s">
        <v>245</v>
      </c>
      <c r="K8" s="4">
        <v>2.0613425925925927E-2</v>
      </c>
      <c r="L8" s="5">
        <f t="shared" si="1"/>
        <v>0.16405228758169946</v>
      </c>
      <c r="M8" s="25">
        <f>K8/L$5</f>
        <v>3.6613545161502535E-3</v>
      </c>
      <c r="N8" s="26">
        <f>M8/$T$6</f>
        <v>1.0879636744945225</v>
      </c>
      <c r="P8" s="10" t="s">
        <v>136</v>
      </c>
      <c r="Q8" t="s">
        <v>244</v>
      </c>
      <c r="R8" s="11">
        <v>3.3055555555555553E-2</v>
      </c>
      <c r="S8" s="5">
        <f t="shared" si="2"/>
        <v>0.11999999999999995</v>
      </c>
      <c r="T8" s="25">
        <f>R8/S$5</f>
        <v>3.5090823307383813E-3</v>
      </c>
      <c r="U8" s="26">
        <f t="shared" si="3"/>
        <v>1.0427163198247533</v>
      </c>
      <c r="W8" t="s">
        <v>310</v>
      </c>
      <c r="X8" s="27">
        <v>0.21240740740740741</v>
      </c>
      <c r="Y8" s="27">
        <f>Y7-Y5</f>
        <v>2.0361111111111108E-2</v>
      </c>
    </row>
    <row r="9" spans="2:25" x14ac:dyDescent="0.3">
      <c r="D9" s="3"/>
      <c r="E9" s="5"/>
      <c r="K9" s="3"/>
      <c r="L9" s="5"/>
      <c r="R9" s="3"/>
      <c r="S9" s="5"/>
      <c r="W9" t="s">
        <v>309</v>
      </c>
      <c r="X9" s="27">
        <v>0.21877314814814816</v>
      </c>
      <c r="Y9" s="5">
        <f>(Y7-Y5)/Y5</f>
        <v>0.10471428571428569</v>
      </c>
    </row>
    <row r="10" spans="2:25" x14ac:dyDescent="0.3">
      <c r="D10" s="3"/>
      <c r="E10" s="3"/>
      <c r="K10" s="3"/>
      <c r="L10" s="3"/>
      <c r="R10" s="3"/>
      <c r="S10" s="3"/>
      <c r="W10" t="s">
        <v>322</v>
      </c>
      <c r="X10" s="27">
        <v>0.22671296296296295</v>
      </c>
    </row>
    <row r="11" spans="2:25" x14ac:dyDescent="0.3">
      <c r="B11" s="1" t="s">
        <v>277</v>
      </c>
      <c r="D11" s="31">
        <f>G11*0.85</f>
        <v>1.1805555555555555E-2</v>
      </c>
      <c r="E11">
        <f>2.64+40*0.01</f>
        <v>3.04</v>
      </c>
      <c r="F11" s="33">
        <f>D11/E11</f>
        <v>3.8834064327485378E-3</v>
      </c>
      <c r="G11" s="23">
        <v>1.3888888888888888E-2</v>
      </c>
      <c r="I11" s="1" t="s">
        <v>35</v>
      </c>
      <c r="K11" s="31">
        <f>N11*0.85</f>
        <v>1.7708333333333333E-2</v>
      </c>
      <c r="L11">
        <f>4.61+85*0.01</f>
        <v>5.46</v>
      </c>
      <c r="M11" s="33">
        <f>K11/L11</f>
        <v>3.243284493284493E-3</v>
      </c>
      <c r="N11" s="23">
        <v>2.0833333333333332E-2</v>
      </c>
      <c r="P11" s="1" t="s">
        <v>36</v>
      </c>
      <c r="R11" s="31">
        <f>U11*0.85</f>
        <v>2.361111111111111E-2</v>
      </c>
      <c r="S11">
        <f>5.95+140*0.01</f>
        <v>7.3500000000000005</v>
      </c>
      <c r="T11" s="33">
        <f>R11/S11</f>
        <v>3.2123960695389264E-3</v>
      </c>
      <c r="U11" s="23">
        <v>2.7777777777777776E-2</v>
      </c>
      <c r="W11" s="1" t="s">
        <v>308</v>
      </c>
      <c r="Y11" s="32">
        <v>0.17361111111111113</v>
      </c>
    </row>
    <row r="12" spans="2:25" x14ac:dyDescent="0.3">
      <c r="B12" t="s">
        <v>248</v>
      </c>
      <c r="C12" t="s">
        <v>241</v>
      </c>
      <c r="D12" s="4">
        <v>1.1180555555555556E-2</v>
      </c>
      <c r="E12" s="5">
        <f>(D12-D$5)/D$5</f>
        <v>-5.2941176470588137E-2</v>
      </c>
      <c r="F12" s="25">
        <f>D12/E$11</f>
        <v>3.6778143274853806E-3</v>
      </c>
      <c r="G12" s="26">
        <f>F12/$T$6</f>
        <v>1.0928546722776273</v>
      </c>
      <c r="I12" t="s">
        <v>187</v>
      </c>
      <c r="J12" t="s">
        <v>244</v>
      </c>
      <c r="K12" s="4">
        <v>1.7546296296296296E-2</v>
      </c>
      <c r="L12" s="5">
        <f>(K12-K$5)/K$5</f>
        <v>-9.1503267973856144E-3</v>
      </c>
      <c r="M12" s="25">
        <f>K12/L$11</f>
        <v>3.2136073802740469E-3</v>
      </c>
      <c r="N12" s="26">
        <f>M12/$T$6</f>
        <v>0.95491656937440061</v>
      </c>
      <c r="P12" t="s">
        <v>254</v>
      </c>
      <c r="Q12" t="s">
        <v>244</v>
      </c>
      <c r="R12" s="4">
        <v>2.4756944444444443E-2</v>
      </c>
      <c r="S12" s="5">
        <f>(R12-R$11)/R$11</f>
        <v>4.8529411764705828E-2</v>
      </c>
      <c r="T12" s="25">
        <f>R12/S$11</f>
        <v>3.3682917611489037E-3</v>
      </c>
      <c r="U12" s="26">
        <f>T12/$T$6</f>
        <v>1.0008807027739901</v>
      </c>
      <c r="W12" t="s">
        <v>310</v>
      </c>
      <c r="X12" s="27">
        <v>0.18333333333333335</v>
      </c>
    </row>
    <row r="13" spans="2:25" x14ac:dyDescent="0.3">
      <c r="B13" t="s">
        <v>249</v>
      </c>
      <c r="C13" t="s">
        <v>242</v>
      </c>
      <c r="D13" s="4">
        <v>1.2546296296296297E-2</v>
      </c>
      <c r="E13" s="5">
        <f t="shared" ref="E13:E14" si="4">(D13-D$5)/D$5</f>
        <v>6.2745098039215755E-2</v>
      </c>
      <c r="F13" s="25">
        <f>D13/E$11</f>
        <v>4.1270711500974661E-3</v>
      </c>
      <c r="G13" s="26">
        <f>F13/$T$6</f>
        <v>1.2263503775869027</v>
      </c>
      <c r="I13" t="s">
        <v>251</v>
      </c>
      <c r="J13" t="s">
        <v>245</v>
      </c>
      <c r="K13" s="4">
        <v>2.0590277777777777E-2</v>
      </c>
      <c r="L13" s="5">
        <f t="shared" ref="L13:L14" si="5">(K13-K$5)/K$5</f>
        <v>0.16274509803921566</v>
      </c>
      <c r="M13" s="25">
        <f>K13/L$11</f>
        <v>3.7711131461131459E-3</v>
      </c>
      <c r="N13" s="26">
        <f>M13/$T$6</f>
        <v>1.120578216963759</v>
      </c>
      <c r="P13" t="s">
        <v>74</v>
      </c>
      <c r="Q13" t="s">
        <v>247</v>
      </c>
      <c r="R13" s="4">
        <v>2.56712962962963E-2</v>
      </c>
      <c r="S13" s="5">
        <f t="shared" ref="S13:S14" si="6">(R13-R$11)/R$11</f>
        <v>8.7254901960784489E-2</v>
      </c>
      <c r="T13" s="25">
        <f>R13/S$11</f>
        <v>3.4926933736457548E-3</v>
      </c>
      <c r="U13" s="26">
        <f t="shared" ref="U13:U14" si="7">T13/$T$6</f>
        <v>1.037846376228476</v>
      </c>
      <c r="W13" t="s">
        <v>323</v>
      </c>
      <c r="X13" s="27">
        <v>0.18442129629629631</v>
      </c>
      <c r="Y13" s="28">
        <f>AVERAGE(X12:X16)</f>
        <v>0.19455092592592596</v>
      </c>
    </row>
    <row r="14" spans="2:25" x14ac:dyDescent="0.3">
      <c r="B14" t="s">
        <v>250</v>
      </c>
      <c r="C14" t="s">
        <v>241</v>
      </c>
      <c r="D14" s="4">
        <v>1.3090277777777779E-2</v>
      </c>
      <c r="E14" s="5">
        <f t="shared" si="4"/>
        <v>0.10882352941176482</v>
      </c>
      <c r="F14" s="25">
        <f>D14/E$11</f>
        <v>4.3060124269005849E-3</v>
      </c>
      <c r="G14" s="26">
        <f>F14/$T$6</f>
        <v>1.2795223958033088</v>
      </c>
      <c r="I14" t="s">
        <v>252</v>
      </c>
      <c r="J14" t="s">
        <v>253</v>
      </c>
      <c r="K14" s="4">
        <v>2.2152777777777775E-2</v>
      </c>
      <c r="L14" s="5">
        <f t="shared" si="5"/>
        <v>0.25098039215686263</v>
      </c>
      <c r="M14" s="25">
        <f>K14/L$11</f>
        <v>4.0572853072853065E-3</v>
      </c>
      <c r="N14" s="26">
        <f>M14/$T$6</f>
        <v>1.2056136634449883</v>
      </c>
      <c r="P14" t="s">
        <v>197</v>
      </c>
      <c r="Q14" t="s">
        <v>244</v>
      </c>
      <c r="R14" s="4">
        <v>2.5879629629629627E-2</v>
      </c>
      <c r="S14" s="5">
        <f t="shared" si="6"/>
        <v>9.6078431372548956E-2</v>
      </c>
      <c r="T14" s="25">
        <f>R14/S$11</f>
        <v>3.5210380448475681E-3</v>
      </c>
      <c r="U14" s="26">
        <f t="shared" si="7"/>
        <v>1.0462689347370928</v>
      </c>
      <c r="W14" t="s">
        <v>324</v>
      </c>
      <c r="X14" s="27">
        <v>0.19650462962962964</v>
      </c>
      <c r="Y14" s="27">
        <f>Y13-Y11</f>
        <v>2.0939814814814828E-2</v>
      </c>
    </row>
    <row r="15" spans="2:25" x14ac:dyDescent="0.3">
      <c r="D15" s="3"/>
      <c r="E15" s="5"/>
      <c r="K15" s="3"/>
      <c r="L15" s="5"/>
      <c r="R15" s="3"/>
      <c r="S15" s="5"/>
      <c r="W15" t="s">
        <v>325</v>
      </c>
      <c r="X15" s="27">
        <v>0.20394675925925929</v>
      </c>
      <c r="Y15" s="5">
        <f>(Y13-Y11)/Y11</f>
        <v>0.12061333333333339</v>
      </c>
    </row>
    <row r="16" spans="2:25" x14ac:dyDescent="0.3">
      <c r="D16" s="3"/>
      <c r="E16" s="5"/>
      <c r="K16" s="3"/>
      <c r="L16" s="5"/>
      <c r="R16" s="3"/>
      <c r="S16" s="5"/>
      <c r="W16" t="s">
        <v>326</v>
      </c>
      <c r="X16" s="27">
        <v>0.20454861111111111</v>
      </c>
    </row>
    <row r="17" spans="2:25" x14ac:dyDescent="0.3">
      <c r="B17" s="1" t="s">
        <v>278</v>
      </c>
      <c r="D17" s="31">
        <f>G17*0.85</f>
        <v>1.1805555555555555E-2</v>
      </c>
      <c r="E17">
        <f>2.71+35*0.01</f>
        <v>3.06</v>
      </c>
      <c r="F17" s="33">
        <f>D17/E17</f>
        <v>3.8580246913580245E-3</v>
      </c>
      <c r="G17" s="23">
        <v>1.3888888888888888E-2</v>
      </c>
      <c r="I17" s="1" t="s">
        <v>234</v>
      </c>
      <c r="K17" s="31">
        <f>N17*0.85</f>
        <v>1.7708333333333333E-2</v>
      </c>
      <c r="L17">
        <f>4.57+80*0.01</f>
        <v>5.37</v>
      </c>
      <c r="M17" s="33">
        <f>K17/L17</f>
        <v>3.29764121663563E-3</v>
      </c>
      <c r="N17" s="23">
        <v>2.0833333333333332E-2</v>
      </c>
      <c r="P17" s="8" t="s">
        <v>235</v>
      </c>
      <c r="R17" s="31">
        <f>U17*0.85</f>
        <v>2.361111111111111E-2</v>
      </c>
      <c r="S17">
        <f>5.64+110*0.01</f>
        <v>6.74</v>
      </c>
      <c r="T17" s="33">
        <f>R17/S17</f>
        <v>3.5031322123310251E-3</v>
      </c>
      <c r="U17" s="23">
        <v>2.7777777777777776E-2</v>
      </c>
      <c r="W17" s="1" t="s">
        <v>308</v>
      </c>
      <c r="Y17" s="32">
        <v>0.13194444444444445</v>
      </c>
    </row>
    <row r="18" spans="2:25" x14ac:dyDescent="0.3">
      <c r="B18" t="s">
        <v>255</v>
      </c>
      <c r="C18" t="s">
        <v>256</v>
      </c>
      <c r="D18" s="4">
        <v>1.2407407407407409E-2</v>
      </c>
      <c r="E18" s="5">
        <f>(D18-D$5)/D$5</f>
        <v>5.0980392156862876E-2</v>
      </c>
      <c r="F18" s="25">
        <f>D18/E$17</f>
        <v>4.0547083030743163E-3</v>
      </c>
      <c r="G18" s="26">
        <f>F18/$T$6</f>
        <v>1.2048479121476996</v>
      </c>
      <c r="I18" t="s">
        <v>173</v>
      </c>
      <c r="J18" t="s">
        <v>244</v>
      </c>
      <c r="K18" s="4">
        <v>0.02</v>
      </c>
      <c r="L18" s="5">
        <f>(K18-K$5)/K$5</f>
        <v>0.12941176470588239</v>
      </c>
      <c r="M18" s="25">
        <f>K18/L$17</f>
        <v>3.7243947858472998E-3</v>
      </c>
      <c r="N18" s="26">
        <f>M18/$T$6</f>
        <v>1.1066959559925837</v>
      </c>
      <c r="P18" s="20" t="s">
        <v>263</v>
      </c>
      <c r="Q18" t="s">
        <v>247</v>
      </c>
      <c r="R18" s="11">
        <v>2.6226851851851852E-2</v>
      </c>
      <c r="S18" s="5">
        <f>(R18-R$11)/R$11</f>
        <v>0.11078431372549023</v>
      </c>
      <c r="T18" s="25">
        <f>R18/S$17</f>
        <v>3.8912243103637763E-3</v>
      </c>
      <c r="U18" s="26">
        <f>T18/$T$6</f>
        <v>1.1562689928854886</v>
      </c>
      <c r="W18" t="s">
        <v>310</v>
      </c>
      <c r="X18" s="27">
        <v>0.16583333333333333</v>
      </c>
    </row>
    <row r="19" spans="2:25" x14ac:dyDescent="0.3">
      <c r="B19" t="s">
        <v>257</v>
      </c>
      <c r="C19" t="s">
        <v>259</v>
      </c>
      <c r="D19" s="4">
        <v>1.3530092592592594E-2</v>
      </c>
      <c r="E19" s="5">
        <f t="shared" ref="E19:E20" si="8">(D19-D$5)/D$5</f>
        <v>0.14607843137254914</v>
      </c>
      <c r="F19" s="25">
        <f>D19/E$17</f>
        <v>4.4215988864681676E-3</v>
      </c>
      <c r="G19" s="26">
        <f>F19/$T$6</f>
        <v>1.3138686653924074</v>
      </c>
      <c r="I19" t="s">
        <v>260</v>
      </c>
      <c r="J19" t="s">
        <v>241</v>
      </c>
      <c r="K19" s="4">
        <v>2.1828703703703701E-2</v>
      </c>
      <c r="L19" s="5">
        <f t="shared" ref="L19:L20" si="9">(K19-K$5)/K$5</f>
        <v>0.23267973856209137</v>
      </c>
      <c r="M19" s="25">
        <f>K19/L$17</f>
        <v>4.0649355127939848E-3</v>
      </c>
      <c r="N19" s="26">
        <f>M19/$T$6</f>
        <v>1.2078869056724608</v>
      </c>
      <c r="P19" s="20" t="s">
        <v>264</v>
      </c>
      <c r="Q19" t="s">
        <v>244</v>
      </c>
      <c r="R19" s="11">
        <v>2.7013888888888889E-2</v>
      </c>
      <c r="S19" s="5">
        <f t="shared" ref="S19:S20" si="10">(R19-R$11)/R$11</f>
        <v>0.14411764705882357</v>
      </c>
      <c r="T19" s="25">
        <f>R19/S$17</f>
        <v>4.007995384108144E-3</v>
      </c>
      <c r="U19" s="26">
        <f t="shared" ref="U19:U20" si="11">T19/$T$6</f>
        <v>1.1909672680471008</v>
      </c>
      <c r="W19" t="s">
        <v>312</v>
      </c>
      <c r="X19" s="27">
        <v>0.16686342592592593</v>
      </c>
      <c r="Y19" s="28">
        <f>AVERAGE(X18:X22)</f>
        <v>0.17162037037037037</v>
      </c>
    </row>
    <row r="20" spans="2:25" x14ac:dyDescent="0.3">
      <c r="B20" t="s">
        <v>258</v>
      </c>
      <c r="C20" t="s">
        <v>256</v>
      </c>
      <c r="D20" s="4">
        <v>1.357638888888889E-2</v>
      </c>
      <c r="E20" s="5">
        <f t="shared" si="8"/>
        <v>0.15000000000000008</v>
      </c>
      <c r="F20" s="25">
        <f>D20/E$17</f>
        <v>4.4367283950617281E-3</v>
      </c>
      <c r="G20" s="26">
        <f>F20/$T$6</f>
        <v>1.3183643665571374</v>
      </c>
      <c r="I20" t="s">
        <v>261</v>
      </c>
      <c r="J20" t="s">
        <v>262</v>
      </c>
      <c r="K20" s="4">
        <v>2.2685185185185183E-2</v>
      </c>
      <c r="L20" s="5">
        <f t="shared" si="9"/>
        <v>0.28104575163398687</v>
      </c>
      <c r="M20" s="25">
        <f>K20/L$17</f>
        <v>4.2244292709842056E-3</v>
      </c>
      <c r="N20" s="26">
        <f>M20/$T$6</f>
        <v>1.2552801352693659</v>
      </c>
      <c r="P20" s="10" t="s">
        <v>265</v>
      </c>
      <c r="Q20" t="s">
        <v>266</v>
      </c>
      <c r="R20" s="11">
        <v>2.8020833333333332E-2</v>
      </c>
      <c r="S20" s="5">
        <f t="shared" si="10"/>
        <v>0.18676470588235289</v>
      </c>
      <c r="T20" s="25">
        <f>R20/S$17</f>
        <v>4.157393669634025E-3</v>
      </c>
      <c r="U20" s="26">
        <f t="shared" si="11"/>
        <v>1.2353606495038689</v>
      </c>
      <c r="W20" t="s">
        <v>327</v>
      </c>
      <c r="X20" s="27">
        <v>0.17159722222222221</v>
      </c>
      <c r="Y20" s="27">
        <f>Y19-Y17</f>
        <v>3.967592592592592E-2</v>
      </c>
    </row>
    <row r="21" spans="2:25" x14ac:dyDescent="0.3">
      <c r="D21" s="3"/>
      <c r="E21" s="5"/>
      <c r="K21" s="3"/>
      <c r="L21" s="5"/>
      <c r="R21" s="3"/>
      <c r="S21" s="5"/>
      <c r="W21" t="s">
        <v>328</v>
      </c>
      <c r="X21" s="27">
        <v>0.17591435185185186</v>
      </c>
      <c r="Y21" s="5">
        <f>(Y19-Y17)/Y17</f>
        <v>0.30070175438596486</v>
      </c>
    </row>
    <row r="22" spans="2:25" x14ac:dyDescent="0.3">
      <c r="D22" s="3"/>
      <c r="E22" s="3"/>
      <c r="K22" s="3"/>
      <c r="L22" s="3"/>
      <c r="R22" s="3"/>
      <c r="S22" s="3"/>
      <c r="W22" t="s">
        <v>329</v>
      </c>
      <c r="X22" s="27">
        <v>0.17789351851851853</v>
      </c>
    </row>
    <row r="23" spans="2:25" x14ac:dyDescent="0.3">
      <c r="B23" s="1" t="s">
        <v>279</v>
      </c>
      <c r="D23" s="31">
        <f>G23*0.85</f>
        <v>1.1805555555555555E-2</v>
      </c>
      <c r="E23">
        <f>2.71+30*0.01</f>
        <v>3.01</v>
      </c>
      <c r="F23" s="33">
        <f>D23/E23</f>
        <v>3.922111480251015E-3</v>
      </c>
      <c r="G23" s="23">
        <v>1.3888888888888888E-2</v>
      </c>
      <c r="I23" s="1" t="s">
        <v>236</v>
      </c>
      <c r="K23" s="31">
        <f>N23*0.85</f>
        <v>1.7708333333333333E-2</v>
      </c>
      <c r="L23">
        <f>4.54+80*0.01</f>
        <v>5.34</v>
      </c>
      <c r="M23" s="33">
        <f>K23/L23</f>
        <v>3.3161672908863919E-3</v>
      </c>
      <c r="N23" s="23">
        <v>2.0833333333333332E-2</v>
      </c>
      <c r="P23" s="1" t="s">
        <v>237</v>
      </c>
      <c r="R23" s="31">
        <f>U23*0.85</f>
        <v>2.361111111111111E-2</v>
      </c>
      <c r="S23">
        <f>5.76+130*0.01</f>
        <v>7.06</v>
      </c>
      <c r="T23" s="33">
        <f>R23/S23</f>
        <v>3.3443500157381177E-3</v>
      </c>
      <c r="U23" s="23">
        <v>2.7777777777777776E-2</v>
      </c>
      <c r="W23" s="1" t="s">
        <v>308</v>
      </c>
      <c r="Y23" s="32">
        <v>0.125</v>
      </c>
    </row>
    <row r="24" spans="2:25" x14ac:dyDescent="0.3">
      <c r="B24" t="s">
        <v>267</v>
      </c>
      <c r="C24" t="s">
        <v>262</v>
      </c>
      <c r="D24" s="4">
        <v>1.0868055555555556E-2</v>
      </c>
      <c r="E24" s="5">
        <f>(D24-D$5)/D$5</f>
        <v>-7.9411764705882279E-2</v>
      </c>
      <c r="F24" s="25">
        <f>D24/E$23</f>
        <v>3.610649686231082E-3</v>
      </c>
      <c r="G24" s="26">
        <f>F24/$T$6</f>
        <v>1.0728968425802274</v>
      </c>
      <c r="I24" t="s">
        <v>270</v>
      </c>
      <c r="J24" t="s">
        <v>262</v>
      </c>
      <c r="K24" s="4">
        <v>2.298611111111111E-2</v>
      </c>
      <c r="L24" s="5">
        <f>(K24-K$5)/K$5</f>
        <v>0.29803921568627445</v>
      </c>
      <c r="M24" s="25">
        <f>K24/L$23</f>
        <v>4.3045151893466495E-3</v>
      </c>
      <c r="N24" s="26">
        <f>M24/$T$6</f>
        <v>1.279077494861981</v>
      </c>
      <c r="P24" t="s">
        <v>273</v>
      </c>
      <c r="Q24" t="s">
        <v>275</v>
      </c>
      <c r="R24" s="4">
        <v>2.8483796296296295E-2</v>
      </c>
      <c r="S24" s="5">
        <f>(R24-R$11)/R$11</f>
        <v>0.20637254901960783</v>
      </c>
      <c r="T24" s="25">
        <f>R24/S$23</f>
        <v>4.0345320532997591E-3</v>
      </c>
      <c r="U24" s="26">
        <f>T24/$T$6</f>
        <v>1.1988525826199468</v>
      </c>
      <c r="W24" t="s">
        <v>330</v>
      </c>
      <c r="X24" s="27">
        <v>0.14624999999999999</v>
      </c>
    </row>
    <row r="25" spans="2:25" x14ac:dyDescent="0.3">
      <c r="B25" t="s">
        <v>268</v>
      </c>
      <c r="C25" t="s">
        <v>262</v>
      </c>
      <c r="D25" s="4">
        <v>1.0972222222222223E-2</v>
      </c>
      <c r="E25" s="5">
        <f t="shared" ref="E25:E26" si="12">(D25-D$5)/D$5</f>
        <v>-7.0588235294117521E-2</v>
      </c>
      <c r="F25" s="25">
        <f>D25/E$23</f>
        <v>3.6452565522332972E-3</v>
      </c>
      <c r="G25" s="26">
        <f>F25/$T$6</f>
        <v>1.0831801988988878</v>
      </c>
      <c r="I25" t="s">
        <v>271</v>
      </c>
      <c r="J25" t="s">
        <v>241</v>
      </c>
      <c r="K25" s="4">
        <v>2.4386574074074074E-2</v>
      </c>
      <c r="L25" s="5">
        <f t="shared" ref="L25:L26" si="13">(K25-K$5)/K$5</f>
        <v>0.377124183006536</v>
      </c>
      <c r="M25" s="25">
        <f>K25/L$23</f>
        <v>4.5667741711749206E-3</v>
      </c>
      <c r="N25" s="26">
        <f>M25/$T$6</f>
        <v>1.3570071911753243</v>
      </c>
      <c r="P25" t="s">
        <v>105</v>
      </c>
      <c r="Q25" t="s">
        <v>266</v>
      </c>
      <c r="R25" s="4">
        <v>2.9062500000000002E-2</v>
      </c>
      <c r="S25" s="5">
        <f t="shared" ref="S25:S26" si="14">(R25-R$11)/R$11</f>
        <v>0.23088235294117657</v>
      </c>
      <c r="T25" s="25">
        <f>R25/S$23</f>
        <v>4.1165014164305956E-3</v>
      </c>
      <c r="U25" s="26">
        <f t="shared" ref="U25:U26" si="15">T25/$T$6</f>
        <v>1.2232096038027982</v>
      </c>
      <c r="W25" t="s">
        <v>331</v>
      </c>
      <c r="X25" s="27">
        <v>0.14802083333333335</v>
      </c>
      <c r="Y25" s="28">
        <f>AVERAGE(X24:X28)</f>
        <v>0.15021527777777779</v>
      </c>
    </row>
    <row r="26" spans="2:25" x14ac:dyDescent="0.3">
      <c r="B26" t="s">
        <v>269</v>
      </c>
      <c r="C26" t="s">
        <v>256</v>
      </c>
      <c r="D26" s="4">
        <v>1.0995370370370371E-2</v>
      </c>
      <c r="E26" s="5">
        <f t="shared" si="12"/>
        <v>-6.8627450980392107E-2</v>
      </c>
      <c r="F26" s="25">
        <f>D26/E$23</f>
        <v>3.6529469669004558E-3</v>
      </c>
      <c r="G26" s="26">
        <f>F26/$T$6</f>
        <v>1.0854653891919233</v>
      </c>
      <c r="I26" t="s">
        <v>272</v>
      </c>
      <c r="J26" t="s">
        <v>266</v>
      </c>
      <c r="K26" s="4">
        <v>2.462962962962963E-2</v>
      </c>
      <c r="L26" s="5">
        <f t="shared" si="13"/>
        <v>0.39084967320261443</v>
      </c>
      <c r="M26" s="25">
        <f>K26/L$23</f>
        <v>4.6122901928145376E-3</v>
      </c>
      <c r="N26" s="26">
        <f>M26/$T$6</f>
        <v>1.3705321797916896</v>
      </c>
      <c r="P26" t="s">
        <v>274</v>
      </c>
      <c r="Q26" t="s">
        <v>266</v>
      </c>
      <c r="R26" s="4">
        <v>3.0289351851851855E-2</v>
      </c>
      <c r="S26" s="5">
        <f t="shared" si="14"/>
        <v>0.28284313725490212</v>
      </c>
      <c r="T26" s="25">
        <f>R26/S$23</f>
        <v>4.2902764662679687E-3</v>
      </c>
      <c r="U26" s="26">
        <f t="shared" si="15"/>
        <v>1.2748464887104434</v>
      </c>
      <c r="W26" t="s">
        <v>332</v>
      </c>
      <c r="X26" s="27">
        <v>0.14895833333333333</v>
      </c>
      <c r="Y26" s="27">
        <f>Y25-Y23</f>
        <v>2.5215277777777795E-2</v>
      </c>
    </row>
    <row r="27" spans="2:25" x14ac:dyDescent="0.3">
      <c r="W27" t="s">
        <v>333</v>
      </c>
      <c r="X27" s="27">
        <v>0.15210648148148148</v>
      </c>
      <c r="Y27" s="5">
        <f>(Y25-Y23)/Y23</f>
        <v>0.20172222222222236</v>
      </c>
    </row>
    <row r="28" spans="2:25" x14ac:dyDescent="0.3">
      <c r="W28" t="s">
        <v>312</v>
      </c>
      <c r="X28" s="27">
        <v>0.15574074074074074</v>
      </c>
    </row>
  </sheetData>
  <conditionalFormatting sqref="E6:E8 E12:E14 E18:E20 E24:E26">
    <cfRule type="cellIs" dxfId="155" priority="41" operator="between">
      <formula>-0.15</formula>
      <formula>-0.05</formula>
    </cfRule>
    <cfRule type="cellIs" dxfId="154" priority="40" operator="between">
      <formula>-0.05</formula>
      <formula>0.05</formula>
    </cfRule>
    <cfRule type="cellIs" dxfId="153" priority="39" operator="between">
      <formula>0.05</formula>
      <formula>0.15</formula>
    </cfRule>
    <cfRule type="cellIs" dxfId="152" priority="38" operator="between">
      <formula>0.15</formula>
      <formula>0.25</formula>
    </cfRule>
    <cfRule type="cellIs" dxfId="151" priority="42" operator="lessThanOrEqual">
      <formula>-0.15</formula>
    </cfRule>
    <cfRule type="cellIs" dxfId="150" priority="37" operator="greaterThanOrEqual">
      <formula>0.25</formula>
    </cfRule>
  </conditionalFormatting>
  <conditionalFormatting sqref="L6:L8 L12:L14 L18:L20 L24:L26">
    <cfRule type="cellIs" dxfId="149" priority="32" operator="between">
      <formula>0.15</formula>
      <formula>0.25</formula>
    </cfRule>
    <cfRule type="cellIs" dxfId="148" priority="36" operator="lessThanOrEqual">
      <formula>-0.15</formula>
    </cfRule>
    <cfRule type="cellIs" dxfId="147" priority="35" operator="between">
      <formula>-0.15</formula>
      <formula>-0.05</formula>
    </cfRule>
    <cfRule type="cellIs" dxfId="146" priority="34" operator="between">
      <formula>-0.05</formula>
      <formula>0.05</formula>
    </cfRule>
    <cfRule type="cellIs" dxfId="145" priority="33" operator="between">
      <formula>0.05</formula>
      <formula>0.15</formula>
    </cfRule>
    <cfRule type="cellIs" dxfId="144" priority="31" operator="greaterThanOrEqual">
      <formula>0.25</formula>
    </cfRule>
  </conditionalFormatting>
  <conditionalFormatting sqref="S6:S8 S12:S14 S18:S20 S24:S26">
    <cfRule type="cellIs" dxfId="143" priority="30" operator="lessThanOrEqual">
      <formula>-0.15</formula>
    </cfRule>
    <cfRule type="cellIs" dxfId="142" priority="29" operator="between">
      <formula>-0.15</formula>
      <formula>-0.05</formula>
    </cfRule>
    <cfRule type="cellIs" dxfId="141" priority="28" operator="between">
      <formula>-0.05</formula>
      <formula>0.05</formula>
    </cfRule>
    <cfRule type="cellIs" dxfId="140" priority="26" operator="between">
      <formula>0.15</formula>
      <formula>0.25</formula>
    </cfRule>
    <cfRule type="cellIs" dxfId="139" priority="27" operator="between">
      <formula>0.05</formula>
      <formula>0.15</formula>
    </cfRule>
    <cfRule type="cellIs" dxfId="138" priority="25" operator="greaterThanOrEqual">
      <formula>0.25</formula>
    </cfRule>
  </conditionalFormatting>
  <conditionalFormatting sqref="Y9">
    <cfRule type="cellIs" dxfId="137" priority="19" operator="greaterThanOrEqual">
      <formula>0.25</formula>
    </cfRule>
    <cfRule type="cellIs" dxfId="136" priority="20" operator="between">
      <formula>0.15</formula>
      <formula>0.25</formula>
    </cfRule>
    <cfRule type="cellIs" dxfId="135" priority="21" operator="between">
      <formula>0.05</formula>
      <formula>0.15</formula>
    </cfRule>
    <cfRule type="cellIs" dxfId="134" priority="22" operator="between">
      <formula>-0.05</formula>
      <formula>0.05</formula>
    </cfRule>
    <cfRule type="cellIs" dxfId="133" priority="23" operator="between">
      <formula>-0.15</formula>
      <formula>-0.05</formula>
    </cfRule>
    <cfRule type="cellIs" dxfId="132" priority="24" operator="lessThanOrEqual">
      <formula>-0.15</formula>
    </cfRule>
  </conditionalFormatting>
  <conditionalFormatting sqref="Y15">
    <cfRule type="cellIs" dxfId="131" priority="18" operator="lessThanOrEqual">
      <formula>-0.15</formula>
    </cfRule>
    <cfRule type="cellIs" dxfId="130" priority="16" operator="between">
      <formula>-0.05</formula>
      <formula>0.05</formula>
    </cfRule>
    <cfRule type="cellIs" dxfId="129" priority="17" operator="between">
      <formula>-0.15</formula>
      <formula>-0.05</formula>
    </cfRule>
    <cfRule type="cellIs" dxfId="128" priority="15" operator="between">
      <formula>0.05</formula>
      <formula>0.15</formula>
    </cfRule>
    <cfRule type="cellIs" dxfId="127" priority="14" operator="between">
      <formula>0.15</formula>
      <formula>0.25</formula>
    </cfRule>
    <cfRule type="cellIs" dxfId="126" priority="13" operator="greaterThanOrEqual">
      <formula>0.25</formula>
    </cfRule>
  </conditionalFormatting>
  <conditionalFormatting sqref="Y21">
    <cfRule type="cellIs" dxfId="125" priority="12" operator="lessThanOrEqual">
      <formula>-0.15</formula>
    </cfRule>
    <cfRule type="cellIs" dxfId="124" priority="10" operator="between">
      <formula>-0.05</formula>
      <formula>0.05</formula>
    </cfRule>
    <cfRule type="cellIs" dxfId="123" priority="9" operator="between">
      <formula>0.05</formula>
      <formula>0.15</formula>
    </cfRule>
    <cfRule type="cellIs" dxfId="122" priority="8" operator="between">
      <formula>0.15</formula>
      <formula>0.25</formula>
    </cfRule>
    <cfRule type="cellIs" dxfId="121" priority="7" operator="greaterThanOrEqual">
      <formula>0.25</formula>
    </cfRule>
    <cfRule type="cellIs" dxfId="120" priority="11" operator="between">
      <formula>-0.15</formula>
      <formula>-0.05</formula>
    </cfRule>
  </conditionalFormatting>
  <conditionalFormatting sqref="Y27">
    <cfRule type="cellIs" dxfId="119" priority="6" operator="lessThanOrEqual">
      <formula>-0.15</formula>
    </cfRule>
    <cfRule type="cellIs" dxfId="118" priority="1" operator="greaterThanOrEqual">
      <formula>0.25</formula>
    </cfRule>
    <cfRule type="cellIs" dxfId="117" priority="5" operator="between">
      <formula>-0.15</formula>
      <formula>-0.05</formula>
    </cfRule>
    <cfRule type="cellIs" dxfId="116" priority="4" operator="between">
      <formula>-0.05</formula>
      <formula>0.05</formula>
    </cfRule>
    <cfRule type="cellIs" dxfId="115" priority="3" operator="between">
      <formula>0.05</formula>
      <formula>0.15</formula>
    </cfRule>
    <cfRule type="cellIs" dxfId="114" priority="2" operator="between">
      <formula>0.15</formula>
      <formula>0.25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C44F2893915E4E8B2CB00DFD53C116" ma:contentTypeVersion="17" ma:contentTypeDescription="Crée un document." ma:contentTypeScope="" ma:versionID="d735b5ca44dcb8160fb1d132c4979331">
  <xsd:schema xmlns:xsd="http://www.w3.org/2001/XMLSchema" xmlns:xs="http://www.w3.org/2001/XMLSchema" xmlns:p="http://schemas.microsoft.com/office/2006/metadata/properties" xmlns:ns2="9cdef0c5-5c1e-498f-9228-a13c912581f4" xmlns:ns3="e1df0c2b-5edf-4441-baed-c13379e0e239" targetNamespace="http://schemas.microsoft.com/office/2006/metadata/properties" ma:root="true" ma:fieldsID="73811fec1f22a812471fd802e4496bdd" ns2:_="" ns3:_="">
    <xsd:import namespace="9cdef0c5-5c1e-498f-9228-a13c912581f4"/>
    <xsd:import namespace="e1df0c2b-5edf-4441-baed-c13379e0e2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Remarque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def0c5-5c1e-498f-9228-a13c912581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3af7b03d-4e69-4f8d-bf76-10788d5738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Remarques" ma:index="21" nillable="true" ma:displayName="Remarques" ma:format="Dropdown" ma:internalName="Remarques">
      <xsd:simpleType>
        <xsd:restriction base="dms:Text">
          <xsd:maxLength value="255"/>
        </xsd:restriction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df0c2b-5edf-4441-baed-c13379e0e23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6676d93-3e87-4844-b509-1e24984bdc89}" ma:internalName="TaxCatchAll" ma:showField="CatchAllData" ma:web="e1df0c2b-5edf-4441-baed-c13379e0e2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cdef0c5-5c1e-498f-9228-a13c912581f4">
      <Terms xmlns="http://schemas.microsoft.com/office/infopath/2007/PartnerControls"/>
    </lcf76f155ced4ddcb4097134ff3c332f>
    <Remarques xmlns="9cdef0c5-5c1e-498f-9228-a13c912581f4" xsi:nil="true"/>
    <TaxCatchAll xmlns="e1df0c2b-5edf-4441-baed-c13379e0e239" xsi:nil="true"/>
  </documentManagement>
</p:properties>
</file>

<file path=customXml/itemProps1.xml><?xml version="1.0" encoding="utf-8"?>
<ds:datastoreItem xmlns:ds="http://schemas.openxmlformats.org/officeDocument/2006/customXml" ds:itemID="{6C324FA5-D8FA-473E-9C62-FA8F8170C430}"/>
</file>

<file path=customXml/itemProps2.xml><?xml version="1.0" encoding="utf-8"?>
<ds:datastoreItem xmlns:ds="http://schemas.openxmlformats.org/officeDocument/2006/customXml" ds:itemID="{F58EA1DF-712F-4852-9BCF-6F8D7D7DE6E0}"/>
</file>

<file path=customXml/itemProps3.xml><?xml version="1.0" encoding="utf-8"?>
<ds:datastoreItem xmlns:ds="http://schemas.openxmlformats.org/officeDocument/2006/customXml" ds:itemID="{6DB3E035-7F98-4F8E-AB54-ABF3E26082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(vierge)</vt:lpstr>
      <vt:lpstr>2012</vt:lpstr>
      <vt:lpstr>2013</vt:lpstr>
      <vt:lpstr>2014</vt:lpstr>
      <vt:lpstr>2015</vt:lpstr>
      <vt:lpstr>2016</vt:lpstr>
      <vt:lpstr>2018(orga)</vt:lpstr>
      <vt:lpstr>2018</vt:lpstr>
      <vt:lpstr>2022</vt:lpstr>
      <vt:lpstr>2023</vt:lpstr>
      <vt:lpstr>2024</vt:lpstr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2025-05-07T15:39:47Z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0x01010092C44F2893915E4E8B2CB00DFD53C116</vt:lpwstr>
  </property>
</Properties>
</file>